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30" windowHeight="8115" activeTab="0"/>
  </bookViews>
  <sheets>
    <sheet name="ICC" sheetId="1" r:id="rId1"/>
  </sheets>
  <definedNames>
    <definedName name="AB">'ICC'!$C$129:$H$130</definedName>
    <definedName name="Agent_Table">'ICC'!$AA$3:$AC$50</definedName>
    <definedName name="Availability">'ICC'!$A$46</definedName>
    <definedName name="BC">'ICC'!$C$134:$H$139</definedName>
    <definedName name="Discount">'ICC'!$A$18</definedName>
    <definedName name="Discount_table">'ICC'!$H$107:$P$109</definedName>
    <definedName name="Federal">'ICC'!$C$114:$F$118</definedName>
    <definedName name="Federal2002">'ICC'!$C$121:$H$125</definedName>
    <definedName name="MB">'ICC'!$C$142:$H$145</definedName>
    <definedName name="NB">'ICC'!$C$149:$H$153</definedName>
    <definedName name="NF">'ICC'!$C$157:$H$160</definedName>
    <definedName name="NS">'ICC'!$C$164:$H$167</definedName>
    <definedName name="NT">'ICC'!$C$171:$H$175</definedName>
    <definedName name="NU">'ICC'!$C$179:$H$183</definedName>
    <definedName name="ON">'ICC'!$C$187:$H$190</definedName>
    <definedName name="ON2002">'ICC'!$C$193:$H$196</definedName>
    <definedName name="PE">'ICC'!$C$200:$H$203</definedName>
    <definedName name="PQ">'ICC'!$C$207:$H$210</definedName>
    <definedName name="_xlnm.Print_Area" localSheetId="0">'ICC'!$A$3:$H$48</definedName>
    <definedName name="prov">'ICC'!$E$11</definedName>
    <definedName name="SK">'ICC'!$C$214:$H$217</definedName>
    <definedName name="YT">'ICC'!$C$221:$H$225</definedName>
  </definedNames>
  <calcPr fullCalcOnLoad="1"/>
</workbook>
</file>

<file path=xl/sharedStrings.xml><?xml version="1.0" encoding="utf-8"?>
<sst xmlns="http://schemas.openxmlformats.org/spreadsheetml/2006/main" count="247" uniqueCount="183">
  <si>
    <t>Name</t>
  </si>
  <si>
    <t>Province</t>
  </si>
  <si>
    <t>Federal</t>
  </si>
  <si>
    <t>Provincial</t>
  </si>
  <si>
    <t>Income</t>
  </si>
  <si>
    <t>Base</t>
  </si>
  <si>
    <t>Margin%</t>
  </si>
  <si>
    <t>AB</t>
  </si>
  <si>
    <t>BC</t>
  </si>
  <si>
    <t>PQ</t>
  </si>
  <si>
    <t>ON</t>
  </si>
  <si>
    <t>NB</t>
  </si>
  <si>
    <t>NS</t>
  </si>
  <si>
    <t>PE</t>
  </si>
  <si>
    <t>Tax Saving</t>
  </si>
  <si>
    <t>Net Cost</t>
  </si>
  <si>
    <t>Range Names</t>
  </si>
  <si>
    <t>Enter data in green fields</t>
  </si>
  <si>
    <t>Working area only below this line.</t>
  </si>
  <si>
    <t>Assumptions:</t>
  </si>
  <si>
    <t>Taxable income is equal to net income.</t>
  </si>
  <si>
    <t>Basic Personal Amount</t>
  </si>
  <si>
    <t xml:space="preserve">AB Alberta </t>
  </si>
  <si>
    <t xml:space="preserve">BC British Columbia </t>
  </si>
  <si>
    <t xml:space="preserve">MB Manitoba </t>
  </si>
  <si>
    <t xml:space="preserve">NB New Brunswick </t>
  </si>
  <si>
    <t xml:space="preserve">NT Northwest Territories </t>
  </si>
  <si>
    <t xml:space="preserve">NS Nova Scotia </t>
  </si>
  <si>
    <t xml:space="preserve">ON Ontario </t>
  </si>
  <si>
    <t xml:space="preserve">PE Prince Edward Island </t>
  </si>
  <si>
    <t xml:space="preserve">PQ Quebec </t>
  </si>
  <si>
    <t xml:space="preserve">SK Saskatchewan </t>
  </si>
  <si>
    <t>Province abbreviations</t>
  </si>
  <si>
    <t>YT Yukon Territory</t>
  </si>
  <si>
    <t>NU Nunavut Territory</t>
  </si>
  <si>
    <t>NF Newfoundland and Labrador</t>
  </si>
  <si>
    <t>MB</t>
  </si>
  <si>
    <t>NF</t>
  </si>
  <si>
    <t>NT</t>
  </si>
  <si>
    <t>NU</t>
  </si>
  <si>
    <t>SK</t>
  </si>
  <si>
    <t>YT</t>
  </si>
  <si>
    <t>Total</t>
  </si>
  <si>
    <t>Charitable Donations Limit</t>
  </si>
  <si>
    <t>Charity</t>
  </si>
  <si>
    <t>Tax Tables</t>
  </si>
  <si>
    <t>Gross-up Rate</t>
  </si>
  <si>
    <t>Marginal Tax Rate:</t>
  </si>
  <si>
    <t>Plan Contribution Limit</t>
  </si>
  <si>
    <t xml:space="preserve">Other Charitable Donations </t>
  </si>
  <si>
    <t xml:space="preserve"> Initiatives Canada Corporation</t>
  </si>
  <si>
    <t xml:space="preserve"> Burlington, ON  L7N 3N2</t>
  </si>
  <si>
    <t>905.634.2226</t>
  </si>
  <si>
    <t xml:space="preserve">Facsimile </t>
  </si>
  <si>
    <t xml:space="preserve">Telephone </t>
  </si>
  <si>
    <t xml:space="preserve">Toll Free </t>
  </si>
  <si>
    <t>866.779.4580</t>
  </si>
  <si>
    <t>Jan</t>
  </si>
  <si>
    <t>Mar</t>
  </si>
  <si>
    <t>Apr</t>
  </si>
  <si>
    <t>Feb</t>
  </si>
  <si>
    <t>Dec</t>
  </si>
  <si>
    <t>Nov</t>
  </si>
  <si>
    <t>Oct</t>
  </si>
  <si>
    <t>Jun</t>
  </si>
  <si>
    <t>Jul</t>
  </si>
  <si>
    <t>Aug</t>
  </si>
  <si>
    <t>Sep</t>
  </si>
  <si>
    <t>May</t>
  </si>
  <si>
    <t>Full</t>
  </si>
  <si>
    <t>Install</t>
  </si>
  <si>
    <t>Estimated Taxes Paid (excluding dividend tax credit, etc.):</t>
  </si>
  <si>
    <t>Tax Bracket</t>
  </si>
  <si>
    <t>Adjust print width to 7 inches minimum.</t>
  </si>
  <si>
    <t>2002 Federal non-refundable tax credits:</t>
  </si>
  <si>
    <t>Single person, maximum CPP and EI</t>
  </si>
  <si>
    <t>Couple, maximum CPP and EI</t>
  </si>
  <si>
    <t>Non-refundable tax credits [335]</t>
  </si>
  <si>
    <t>Plan Contribution (multiple of $1000.00)</t>
  </si>
  <si>
    <t>Tax Shelter ID: TS068122</t>
  </si>
  <si>
    <t>Tax receipt for Fair Market Value Gift of Capital</t>
  </si>
  <si>
    <t>Realized Capital Gain</t>
  </si>
  <si>
    <t xml:space="preserve"> Month of Contribution</t>
  </si>
  <si>
    <t xml:space="preserve"> Payment</t>
  </si>
  <si>
    <t xml:space="preserve"> Discount</t>
  </si>
  <si>
    <t>See your independent tax advisor for your actual figures.</t>
  </si>
  <si>
    <t xml:space="preserve"> Revised Charitable</t>
  </si>
  <si>
    <t xml:space="preserve"> Revised Income</t>
  </si>
  <si>
    <t xml:space="preserve"> Based on Tax Bracket</t>
  </si>
  <si>
    <t xml:space="preserve"> Tax on Capital Gain</t>
  </si>
  <si>
    <t xml:space="preserve"> Charitable Donation Credit</t>
  </si>
  <si>
    <t>Sample calculations to match brochure</t>
  </si>
  <si>
    <t>Purchase</t>
  </si>
  <si>
    <t>Factor</t>
  </si>
  <si>
    <t>Donation</t>
  </si>
  <si>
    <t>CapGain</t>
  </si>
  <si>
    <t>Prov</t>
  </si>
  <si>
    <t>Credit</t>
  </si>
  <si>
    <t>Credit %</t>
  </si>
  <si>
    <t>CapGainTx</t>
  </si>
  <si>
    <t>Tax%</t>
  </si>
  <si>
    <t xml:space="preserve"> ? 5.74</t>
  </si>
  <si>
    <t>No surtax</t>
  </si>
  <si>
    <t>No surtax. Rate change.</t>
  </si>
  <si>
    <t xml:space="preserve">ICC </t>
  </si>
  <si>
    <t>MyCalc</t>
  </si>
  <si>
    <t>Column Widths</t>
  </si>
  <si>
    <t xml:space="preserve"> Return on cashflow</t>
  </si>
  <si>
    <t>Surtax</t>
  </si>
  <si>
    <t>-</t>
  </si>
  <si>
    <t>Provincial credits are equal to federal credits.</t>
  </si>
  <si>
    <t>MaxTaxRate</t>
  </si>
  <si>
    <t>Donation Credit</t>
  </si>
  <si>
    <t>New</t>
  </si>
  <si>
    <t>MaxSurtax</t>
  </si>
  <si>
    <t>web java</t>
  </si>
  <si>
    <t>SurtaxBase</t>
  </si>
  <si>
    <t>SurtaxRate</t>
  </si>
  <si>
    <t>Capital Losses</t>
  </si>
  <si>
    <t>web</t>
  </si>
  <si>
    <t>Ontario 2002</t>
  </si>
  <si>
    <t>Taxable Income [260]</t>
  </si>
  <si>
    <t>Non-refundable Credits [6150]</t>
  </si>
  <si>
    <t>Charitable</t>
  </si>
  <si>
    <t>Federal Tax on Taxable [37]</t>
  </si>
  <si>
    <t>Prov Tax on Taxable</t>
  </si>
  <si>
    <t>Prov Surtax</t>
  </si>
  <si>
    <t>ON2002</t>
  </si>
  <si>
    <t>=ICC!$C$137:$F$138</t>
  </si>
  <si>
    <t>=ICC!$C$144:$F$149</t>
  </si>
  <si>
    <t>=ICC!$C$119:$F$123</t>
  </si>
  <si>
    <t>=ICC!$C$152:$F$155</t>
  </si>
  <si>
    <t>=ICC!$C$160:$F$164</t>
  </si>
  <si>
    <t>=ICC!$C$168:$F$172</t>
  </si>
  <si>
    <t>=ICC!$C$177:$F$181</t>
  </si>
  <si>
    <t>=ICC!$C$186:$F$190</t>
  </si>
  <si>
    <t>=ICC!$C$194:$F$198</t>
  </si>
  <si>
    <t>=ICC!$C$202:$F$206</t>
  </si>
  <si>
    <t>=ICC!$C$208:$H$211</t>
  </si>
  <si>
    <t>=ICC!$C$218:$F$222</t>
  </si>
  <si>
    <t>=ICC!$C$227:$F$230</t>
  </si>
  <si>
    <t>Print_Area</t>
  </si>
  <si>
    <t>=ICC!$A$3:$H$53</t>
  </si>
  <si>
    <t>Print_Titles</t>
  </si>
  <si>
    <t>=ICC!$260:$260</t>
  </si>
  <si>
    <t>=ICC!$C$236:$F$239</t>
  </si>
  <si>
    <t>=ICC!$C$244:$F$248</t>
  </si>
  <si>
    <t>Federal n-r credits</t>
  </si>
  <si>
    <t>Total Tax</t>
  </si>
  <si>
    <t>2002 Federal</t>
  </si>
  <si>
    <t>Federal2002</t>
  </si>
  <si>
    <t>Date of Agreement (net)</t>
  </si>
  <si>
    <t>Discount_table</t>
  </si>
  <si>
    <t xml:space="preserve">  Non-printing</t>
  </si>
  <si>
    <t xml:space="preserve">  Details or Alternative</t>
  </si>
  <si>
    <t xml:space="preserve"> Calculated</t>
  </si>
  <si>
    <t xml:space="preserve"> Revised Charitable Donations Limit</t>
  </si>
  <si>
    <t>http://www.initiativescanada.com</t>
  </si>
  <si>
    <t>Installments</t>
  </si>
  <si>
    <t>Down</t>
  </si>
  <si>
    <t>Monthly</t>
  </si>
  <si>
    <t xml:space="preserve"> 3365 Harvester Road, Suite 226</t>
  </si>
  <si>
    <t>Availability:</t>
  </si>
  <si>
    <t>Agent_Table</t>
  </si>
  <si>
    <t>Area</t>
  </si>
  <si>
    <t>John Harris</t>
  </si>
  <si>
    <t>info@initiativescanada.com</t>
  </si>
  <si>
    <t/>
  </si>
  <si>
    <t>Spreadsheet © 2003</t>
  </si>
  <si>
    <t>Number</t>
  </si>
  <si>
    <t>Name, Contact Info</t>
  </si>
  <si>
    <t xml:space="preserve"> John Harris   j.harris@ieee.org</t>
  </si>
  <si>
    <t xml:space="preserve"> Renee Bailey   +1.905.634.4747</t>
  </si>
  <si>
    <t xml:space="preserve"> Burlington</t>
  </si>
  <si>
    <t xml:space="preserve"> Ontario</t>
  </si>
  <si>
    <t xml:space="preserve"> Canada</t>
  </si>
  <si>
    <t xml:space="preserve"> Southern Ontario and Region</t>
  </si>
  <si>
    <t xml:space="preserve"> Hamilton, Burlington, Oakville, Mississauga</t>
  </si>
  <si>
    <t xml:space="preserve"> Greater Toronto Region, Muskoka</t>
  </si>
  <si>
    <t>Basic 2003 income tax rates.</t>
  </si>
  <si>
    <t>2003-08-06 was $100K</t>
  </si>
  <si>
    <t>Adjust for Prov Basic</t>
  </si>
  <si>
    <t>v1.05 2003-08-06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</si>
</sst>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"/>
    <numFmt numFmtId="174" formatCode="&quot;$&quot;#,##0.0"/>
    <numFmt numFmtId="175" formatCode="0.000%"/>
    <numFmt numFmtId="176" formatCode="#,##0.00_ ;\-#,##0.00\ "/>
    <numFmt numFmtId="177" formatCode="0.0000"/>
    <numFmt numFmtId="178" formatCode="mmmm\ d\,\ yyyy"/>
    <numFmt numFmtId="179" formatCode="mmm\ d\,\ yyyy"/>
  </numFmts>
  <fonts count="10">
    <font>
      <sz val="12"/>
      <name val="Courier New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ourier New"/>
      <family val="3"/>
    </font>
    <font>
      <sz val="12"/>
      <color indexed="20"/>
      <name val="Courier New"/>
      <family val="3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color indexed="22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 style="medium"/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medium"/>
    </border>
    <border>
      <left style="thick">
        <color indexed="57"/>
      </left>
      <right>
        <color indexed="63"/>
      </right>
      <top>
        <color indexed="63"/>
      </top>
      <bottom style="thin"/>
    </border>
    <border>
      <left style="thick">
        <color indexed="57"/>
      </left>
      <right>
        <color indexed="63"/>
      </right>
      <top style="thin"/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 applyProtection="1">
      <alignment/>
      <protection locked="0"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44" fontId="0" fillId="0" borderId="0" xfId="0" applyNumberFormat="1" applyBorder="1" applyAlignment="1">
      <alignment/>
    </xf>
    <xf numFmtId="44" fontId="0" fillId="0" borderId="0" xfId="0" applyNumberFormat="1" applyFill="1" applyBorder="1" applyAlignment="1" applyProtection="1">
      <alignment/>
      <protection locked="0"/>
    </xf>
    <xf numFmtId="44" fontId="0" fillId="0" borderId="0" xfId="0" applyNumberFormat="1" applyAlignment="1">
      <alignment/>
    </xf>
    <xf numFmtId="44" fontId="0" fillId="2" borderId="0" xfId="0" applyNumberFormat="1" applyFill="1" applyBorder="1" applyAlignment="1" applyProtection="1">
      <alignment/>
      <protection locked="0"/>
    </xf>
    <xf numFmtId="44" fontId="0" fillId="0" borderId="0" xfId="0" applyNumberFormat="1" applyFill="1" applyBorder="1" applyAlignment="1">
      <alignment/>
    </xf>
    <xf numFmtId="0" fontId="2" fillId="0" borderId="0" xfId="0" applyFont="1" applyBorder="1" applyAlignment="1" applyProtection="1">
      <alignment/>
      <protection hidden="1"/>
    </xf>
    <xf numFmtId="173" fontId="1" fillId="0" borderId="0" xfId="0" applyNumberFormat="1" applyFont="1" applyBorder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 quotePrefix="1">
      <alignment/>
    </xf>
    <xf numFmtId="14" fontId="2" fillId="0" borderId="0" xfId="0" applyNumberFormat="1" applyFon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4" fontId="0" fillId="0" borderId="0" xfId="0" applyNumberForma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44" fontId="0" fillId="0" borderId="6" xfId="0" applyNumberFormat="1" applyBorder="1" applyAlignment="1">
      <alignment/>
    </xf>
    <xf numFmtId="44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 applyAlignment="1" applyProtection="1">
      <alignment horizontal="center"/>
      <protection hidden="1"/>
    </xf>
    <xf numFmtId="44" fontId="0" fillId="0" borderId="7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76" fontId="0" fillId="0" borderId="0" xfId="0" applyNumberFormat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 quotePrefix="1">
      <alignment horizontal="center"/>
    </xf>
    <xf numFmtId="9" fontId="0" fillId="0" borderId="0" xfId="0" applyNumberFormat="1" applyFill="1" applyAlignment="1">
      <alignment horizontal="center"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4" fontId="0" fillId="0" borderId="0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4" fontId="0" fillId="0" borderId="8" xfId="0" applyNumberFormat="1" applyBorder="1" applyAlignment="1">
      <alignment horizontal="right"/>
    </xf>
    <xf numFmtId="44" fontId="0" fillId="0" borderId="8" xfId="0" applyNumberFormat="1" applyBorder="1" applyAlignment="1">
      <alignment/>
    </xf>
    <xf numFmtId="44" fontId="0" fillId="2" borderId="8" xfId="0" applyNumberFormat="1" applyFill="1" applyBorder="1" applyAlignment="1" applyProtection="1">
      <alignment/>
      <protection locked="0"/>
    </xf>
    <xf numFmtId="44" fontId="0" fillId="0" borderId="8" xfId="0" applyNumberFormat="1" applyFill="1" applyBorder="1" applyAlignment="1" applyProtection="1">
      <alignment/>
      <protection locked="0"/>
    </xf>
    <xf numFmtId="44" fontId="0" fillId="0" borderId="8" xfId="0" applyNumberFormat="1" applyFill="1" applyBorder="1" applyAlignment="1">
      <alignment/>
    </xf>
    <xf numFmtId="44" fontId="0" fillId="0" borderId="9" xfId="0" applyNumberFormat="1" applyBorder="1" applyAlignment="1">
      <alignment/>
    </xf>
    <xf numFmtId="170" fontId="0" fillId="0" borderId="10" xfId="0" applyNumberFormat="1" applyFill="1" applyBorder="1" applyAlignment="1">
      <alignment/>
    </xf>
    <xf numFmtId="8" fontId="0" fillId="0" borderId="11" xfId="0" applyNumberFormat="1" applyBorder="1" applyAlignment="1">
      <alignment/>
    </xf>
    <xf numFmtId="0" fontId="0" fillId="0" borderId="8" xfId="0" applyBorder="1" applyAlignment="1">
      <alignment/>
    </xf>
    <xf numFmtId="10" fontId="0" fillId="0" borderId="8" xfId="0" applyNumberFormat="1" applyBorder="1" applyAlignment="1">
      <alignment/>
    </xf>
    <xf numFmtId="10" fontId="0" fillId="0" borderId="8" xfId="0" applyNumberFormat="1" applyBorder="1" applyAlignment="1" applyProtection="1">
      <alignment/>
      <protection hidden="1"/>
    </xf>
    <xf numFmtId="44" fontId="0" fillId="0" borderId="12" xfId="0" applyNumberFormat="1" applyBorder="1" applyAlignment="1">
      <alignment/>
    </xf>
    <xf numFmtId="172" fontId="0" fillId="0" borderId="8" xfId="0" applyNumberForma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172" fontId="2" fillId="0" borderId="0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44" fontId="0" fillId="0" borderId="15" xfId="0" applyNumberFormat="1" applyBorder="1" applyAlignment="1">
      <alignment/>
    </xf>
    <xf numFmtId="172" fontId="1" fillId="0" borderId="15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5" xfId="0" applyNumberFormat="1" applyBorder="1" applyAlignment="1" applyProtection="1">
      <alignment/>
      <protection hidden="1"/>
    </xf>
    <xf numFmtId="179" fontId="1" fillId="0" borderId="0" xfId="0" applyNumberFormat="1" applyFont="1" applyAlignment="1" applyProtection="1">
      <alignment/>
      <protection hidden="1"/>
    </xf>
    <xf numFmtId="0" fontId="7" fillId="0" borderId="0" xfId="20" applyFill="1" applyAlignment="1">
      <alignment/>
    </xf>
    <xf numFmtId="0" fontId="7" fillId="0" borderId="0" xfId="20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4" borderId="0" xfId="0" applyFill="1" applyAlignment="1" applyProtection="1">
      <alignment/>
      <protection locked="0"/>
    </xf>
    <xf numFmtId="0" fontId="1" fillId="4" borderId="0" xfId="0" applyFont="1" applyFill="1" applyAlignment="1" applyProtection="1" quotePrefix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0" fillId="0" borderId="0" xfId="0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1</xdr:col>
      <xdr:colOff>304800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nitiativescanada.com?subject=ICC%20Information%20Request" TargetMode="External" /><Relationship Id="rId2" Type="http://schemas.openxmlformats.org/officeDocument/2006/relationships/hyperlink" Target="http://www.initiativescanada.com/" TargetMode="External" /><Relationship Id="rId3" Type="http://schemas.openxmlformats.org/officeDocument/2006/relationships/hyperlink" Target="mailto:j.harris@ieee.org?subject=Initiatives%20Canada%20Spreadshee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7"/>
  <sheetViews>
    <sheetView tabSelected="1" workbookViewId="0" topLeftCell="A1">
      <selection activeCell="A1" sqref="A1"/>
    </sheetView>
  </sheetViews>
  <sheetFormatPr defaultColWidth="8.796875" defaultRowHeight="15.75"/>
  <cols>
    <col min="1" max="1" width="7.8984375" style="0" customWidth="1"/>
    <col min="2" max="2" width="3.796875" style="0" customWidth="1"/>
    <col min="3" max="3" width="5.19921875" style="34" customWidth="1"/>
    <col min="4" max="4" width="4" style="34" customWidth="1"/>
    <col min="5" max="5" width="13.8984375" style="0" customWidth="1"/>
    <col min="6" max="6" width="9.8984375" style="0" customWidth="1"/>
    <col min="8" max="8" width="13.8984375" style="0" customWidth="1"/>
    <col min="9" max="9" width="2.09765625" style="0" customWidth="1"/>
    <col min="10" max="10" width="13.8984375" style="0" bestFit="1" customWidth="1"/>
    <col min="11" max="11" width="9.69921875" style="0" customWidth="1"/>
    <col min="12" max="12" width="17.3984375" style="0" customWidth="1"/>
    <col min="27" max="27" width="7.69921875" style="0" customWidth="1"/>
    <col min="28" max="28" width="18.296875" style="17" bestFit="1" customWidth="1"/>
    <col min="29" max="29" width="39.8984375" style="17" customWidth="1"/>
  </cols>
  <sheetData>
    <row r="1" spans="1:29" ht="15.75">
      <c r="A1" s="2" t="s">
        <v>17</v>
      </c>
      <c r="B1" s="2"/>
      <c r="C1" s="5"/>
      <c r="F1" t="s">
        <v>73</v>
      </c>
      <c r="AA1" t="s">
        <v>169</v>
      </c>
      <c r="AB1" s="17" t="s">
        <v>164</v>
      </c>
      <c r="AC1" s="17" t="s">
        <v>170</v>
      </c>
    </row>
    <row r="2" spans="4:27" ht="15.75">
      <c r="D2" s="5"/>
      <c r="E2" s="2"/>
      <c r="F2" s="2"/>
      <c r="G2" s="2"/>
      <c r="H2" s="2"/>
      <c r="I2" s="2"/>
      <c r="J2" s="2"/>
      <c r="AA2" t="s">
        <v>163</v>
      </c>
    </row>
    <row r="3" spans="1:29" ht="15.75">
      <c r="A3" s="2"/>
      <c r="B3" s="2"/>
      <c r="C3" s="68" t="s">
        <v>50</v>
      </c>
      <c r="E3" s="2"/>
      <c r="F3" s="2"/>
      <c r="G3" s="13" t="s">
        <v>54</v>
      </c>
      <c r="H3" s="18" t="s">
        <v>52</v>
      </c>
      <c r="I3" s="2"/>
      <c r="J3" s="2"/>
      <c r="AA3" s="112">
        <v>0</v>
      </c>
      <c r="AB3" s="113" t="s">
        <v>167</v>
      </c>
      <c r="AC3" s="113" t="s">
        <v>167</v>
      </c>
    </row>
    <row r="4" spans="3:29" ht="15.75">
      <c r="C4" s="69" t="s">
        <v>161</v>
      </c>
      <c r="G4" s="19" t="s">
        <v>53</v>
      </c>
      <c r="H4" s="18" t="s">
        <v>52</v>
      </c>
      <c r="AA4" s="112">
        <v>1</v>
      </c>
      <c r="AB4" s="114" t="s">
        <v>173</v>
      </c>
      <c r="AC4" s="114"/>
    </row>
    <row r="5" spans="3:29" ht="15.75">
      <c r="C5" s="69" t="s">
        <v>51</v>
      </c>
      <c r="G5" s="19" t="s">
        <v>55</v>
      </c>
      <c r="H5" s="51" t="s">
        <v>56</v>
      </c>
      <c r="AA5" s="112">
        <v>2</v>
      </c>
      <c r="AB5" s="114" t="s">
        <v>177</v>
      </c>
      <c r="AC5" s="114" t="s">
        <v>171</v>
      </c>
    </row>
    <row r="6" spans="7:29" ht="15.75">
      <c r="G6" s="69" t="s">
        <v>79</v>
      </c>
      <c r="J6" s="33"/>
      <c r="AA6" s="112">
        <v>3</v>
      </c>
      <c r="AB6" s="114" t="s">
        <v>178</v>
      </c>
      <c r="AC6" s="114" t="s">
        <v>172</v>
      </c>
    </row>
    <row r="7" spans="3:29" ht="15.75">
      <c r="C7" s="108" t="s">
        <v>166</v>
      </c>
      <c r="J7" s="60">
        <f>IF(AND($H$17&gt;5000,($K$22*$A$50)-(1+$E$29*0.5*($A$50-1))&gt;1)," Excellent opportunity!","")</f>
      </c>
      <c r="AA7" s="112">
        <v>4</v>
      </c>
      <c r="AB7" s="114" t="s">
        <v>174</v>
      </c>
      <c r="AC7" s="114"/>
    </row>
    <row r="8" spans="3:29" ht="15.75">
      <c r="C8" s="108" t="s">
        <v>157</v>
      </c>
      <c r="J8" s="60"/>
      <c r="AA8" s="112">
        <v>5</v>
      </c>
      <c r="AB8" s="114" t="s">
        <v>175</v>
      </c>
      <c r="AC8" s="114"/>
    </row>
    <row r="9" spans="1:29" ht="16.5" thickBot="1">
      <c r="A9" s="2"/>
      <c r="B9" s="2"/>
      <c r="C9" s="5"/>
      <c r="D9" s="5"/>
      <c r="E9" s="2"/>
      <c r="F9" s="2"/>
      <c r="G9" s="2"/>
      <c r="H9" s="2"/>
      <c r="I9" s="2"/>
      <c r="J9" s="60">
        <f>IF(AND($H$17&gt;25000,($K$22*$A$50)-(1+$E$29*0.5*($A$50-1))&lt;0.05)," Consider early contribution.","")</f>
      </c>
      <c r="L9" s="10"/>
      <c r="AA9" s="112">
        <v>6</v>
      </c>
      <c r="AB9" s="114" t="s">
        <v>175</v>
      </c>
      <c r="AC9" s="114"/>
    </row>
    <row r="10" spans="1:29" ht="16.5" thickTop="1">
      <c r="A10" s="2"/>
      <c r="B10" s="2"/>
      <c r="C10" s="5"/>
      <c r="D10" s="70" t="s">
        <v>0</v>
      </c>
      <c r="E10" s="14"/>
      <c r="F10" s="2"/>
      <c r="G10" s="4"/>
      <c r="H10" s="2"/>
      <c r="I10" s="2"/>
      <c r="J10" s="99" t="s">
        <v>153</v>
      </c>
      <c r="K10" s="100"/>
      <c r="AA10" s="112">
        <v>7</v>
      </c>
      <c r="AB10" s="114" t="s">
        <v>176</v>
      </c>
      <c r="AC10" s="114"/>
    </row>
    <row r="11" spans="1:29" ht="15.75">
      <c r="A11" s="2"/>
      <c r="B11" s="2"/>
      <c r="C11" s="5"/>
      <c r="D11" s="70" t="s">
        <v>1</v>
      </c>
      <c r="E11" s="41" t="s">
        <v>10</v>
      </c>
      <c r="F11" s="2"/>
      <c r="G11" s="2"/>
      <c r="J11" s="98" t="s">
        <v>154</v>
      </c>
      <c r="AA11" s="112">
        <v>8</v>
      </c>
      <c r="AB11" s="112">
        <v>8</v>
      </c>
      <c r="AC11" s="112">
        <v>8</v>
      </c>
    </row>
    <row r="12" spans="1:29" ht="15.75">
      <c r="A12" s="2"/>
      <c r="B12" s="2"/>
      <c r="C12" s="5"/>
      <c r="D12" s="70" t="s">
        <v>121</v>
      </c>
      <c r="E12" s="45">
        <v>60000</v>
      </c>
      <c r="F12" s="2"/>
      <c r="G12" s="2"/>
      <c r="H12" s="31"/>
      <c r="I12" s="3"/>
      <c r="J12" s="85">
        <f>$E$12+0.5*J$20</f>
        <v>62325</v>
      </c>
      <c r="K12" s="17" t="s">
        <v>87</v>
      </c>
      <c r="AA12" s="112">
        <v>9</v>
      </c>
      <c r="AB12" s="112">
        <v>9</v>
      </c>
      <c r="AC12" s="114"/>
    </row>
    <row r="13" spans="1:29" ht="15.75">
      <c r="A13" s="2"/>
      <c r="B13" s="2"/>
      <c r="C13" s="5"/>
      <c r="D13" s="70" t="s">
        <v>77</v>
      </c>
      <c r="E13" s="45">
        <v>7756</v>
      </c>
      <c r="F13" s="15">
        <f>7756</f>
        <v>7756</v>
      </c>
      <c r="G13" s="16" t="s">
        <v>21</v>
      </c>
      <c r="H13" s="3"/>
      <c r="I13" s="3"/>
      <c r="J13" s="86"/>
      <c r="AA13" s="112">
        <v>10</v>
      </c>
      <c r="AB13" s="112">
        <v>10</v>
      </c>
      <c r="AC13" s="112">
        <v>10</v>
      </c>
    </row>
    <row r="14" spans="1:29" ht="15.75">
      <c r="A14" s="2"/>
      <c r="B14" s="2"/>
      <c r="C14" s="5"/>
      <c r="D14" s="70" t="s">
        <v>49</v>
      </c>
      <c r="E14" s="45">
        <v>0</v>
      </c>
      <c r="F14" s="15"/>
      <c r="G14" s="15"/>
      <c r="H14" s="31"/>
      <c r="I14" s="3"/>
      <c r="J14" s="85">
        <f>$E$14+J21</f>
        <v>5650</v>
      </c>
      <c r="K14" s="17" t="s">
        <v>86</v>
      </c>
      <c r="AA14" s="112">
        <v>11</v>
      </c>
      <c r="AB14" s="112">
        <v>11</v>
      </c>
      <c r="AC14" s="112">
        <v>11</v>
      </c>
    </row>
    <row r="15" spans="1:29" ht="15.75">
      <c r="A15" s="52">
        <f ca="1">IF(MONTH(TODAY()+5)&lt;=A16,"","Sorry. It is too late for that contribution month.")</f>
      </c>
      <c r="B15" s="2"/>
      <c r="C15" s="5"/>
      <c r="D15" s="66"/>
      <c r="E15" s="11"/>
      <c r="F15" s="2"/>
      <c r="G15" s="2"/>
      <c r="H15" s="3"/>
      <c r="I15" s="3"/>
      <c r="J15" s="86"/>
      <c r="AA15" s="112">
        <v>12</v>
      </c>
      <c r="AB15" s="112">
        <v>12</v>
      </c>
      <c r="AC15" s="112">
        <v>12</v>
      </c>
    </row>
    <row r="16" spans="1:29" ht="15.75">
      <c r="A16" s="20">
        <v>12</v>
      </c>
      <c r="B16" s="16" t="s">
        <v>82</v>
      </c>
      <c r="D16" s="5"/>
      <c r="E16" s="2"/>
      <c r="F16" s="2"/>
      <c r="G16" s="13" t="s">
        <v>43</v>
      </c>
      <c r="H16" s="42">
        <f>$E$12*0.75-E14</f>
        <v>45000</v>
      </c>
      <c r="I16" s="8"/>
      <c r="J16" s="86">
        <f>H16+J20*0.25</f>
        <v>46162.5</v>
      </c>
      <c r="K16" s="84" t="s">
        <v>156</v>
      </c>
      <c r="AA16" s="112">
        <v>13</v>
      </c>
      <c r="AB16" s="112">
        <v>13</v>
      </c>
      <c r="AC16" s="112">
        <v>13</v>
      </c>
    </row>
    <row r="17" spans="1:29" ht="15.75">
      <c r="A17" s="21" t="s">
        <v>69</v>
      </c>
      <c r="B17" s="16" t="s">
        <v>83</v>
      </c>
      <c r="D17" s="5"/>
      <c r="E17" s="2"/>
      <c r="F17" s="2"/>
      <c r="G17" s="13" t="s">
        <v>48</v>
      </c>
      <c r="H17" s="42">
        <f>H16/(($A$50-0.25*($A$50-1))*(1-Discount))</f>
        <v>10027.855153203342</v>
      </c>
      <c r="I17" s="8"/>
      <c r="J17" s="86"/>
      <c r="AA17" s="112">
        <v>14</v>
      </c>
      <c r="AB17" s="112">
        <v>14</v>
      </c>
      <c r="AC17" s="112">
        <v>14</v>
      </c>
    </row>
    <row r="18" spans="1:29" ht="15.75">
      <c r="A18" s="53">
        <f>IF(A17="Full",HLOOKUP(A16,Discount_table,2),HLOOKUP(A16,Discount_table,3))</f>
        <v>0</v>
      </c>
      <c r="B18" s="16" t="s">
        <v>84</v>
      </c>
      <c r="F18" s="2"/>
      <c r="G18" s="13" t="s">
        <v>78</v>
      </c>
      <c r="H18" s="45">
        <v>10000</v>
      </c>
      <c r="I18" s="11"/>
      <c r="J18" s="87">
        <v>1000</v>
      </c>
      <c r="AA18" s="112">
        <v>15</v>
      </c>
      <c r="AB18" s="112">
        <v>15</v>
      </c>
      <c r="AC18" s="112">
        <v>15</v>
      </c>
    </row>
    <row r="19" spans="1:29" ht="15.75">
      <c r="A19" s="101">
        <f>IF(AND(A16=12,A17="Install"),"Full payment required","")</f>
      </c>
      <c r="B19" s="7"/>
      <c r="C19" s="68"/>
      <c r="F19" s="2"/>
      <c r="G19" s="13" t="s">
        <v>151</v>
      </c>
      <c r="H19" s="43">
        <f>H18*(1-Discount)</f>
        <v>10000</v>
      </c>
      <c r="I19" s="11"/>
      <c r="J19" s="88">
        <f>J18*(1-Discount)</f>
        <v>1000</v>
      </c>
      <c r="AA19" s="112">
        <v>16</v>
      </c>
      <c r="AB19" s="112">
        <v>16</v>
      </c>
      <c r="AC19" s="112">
        <v>16</v>
      </c>
    </row>
    <row r="20" spans="3:29" ht="15.75">
      <c r="C20" s="5"/>
      <c r="F20" s="2"/>
      <c r="G20" s="13" t="s">
        <v>81</v>
      </c>
      <c r="H20" s="46">
        <f>H18*($A$50-(1-Discount))</f>
        <v>46500</v>
      </c>
      <c r="I20" s="60">
        <f>IF(AND($H$17&gt;5000,($K$22*$A$50)-(1+$E$29*0.5*($A$50-1))&lt;0.25),"-&gt;","")</f>
      </c>
      <c r="J20" s="89">
        <f>J18*($A$50-(1-Discount))</f>
        <v>4650</v>
      </c>
      <c r="K20" s="60"/>
      <c r="AA20" s="112">
        <v>17</v>
      </c>
      <c r="AB20" s="112">
        <v>17</v>
      </c>
      <c r="AC20" s="112">
        <v>17</v>
      </c>
    </row>
    <row r="21" spans="1:29" ht="16.5" thickBot="1">
      <c r="A21" s="2"/>
      <c r="B21" s="2"/>
      <c r="C21" s="5"/>
      <c r="F21" s="2"/>
      <c r="G21" s="13" t="s">
        <v>80</v>
      </c>
      <c r="H21" s="46">
        <f>H18*$A$50</f>
        <v>56500</v>
      </c>
      <c r="I21" s="60">
        <f>IF(AND($H$17&gt;5000,($K$22*$A$50)-(1+$E$29*0.5*($A$50-1))&lt;0.25),"|","")</f>
      </c>
      <c r="J21" s="89">
        <f>J18*$A$50</f>
        <v>5650</v>
      </c>
      <c r="L21" s="39"/>
      <c r="AA21" s="112">
        <v>18</v>
      </c>
      <c r="AB21" s="112">
        <v>18</v>
      </c>
      <c r="AC21" s="112">
        <v>18</v>
      </c>
    </row>
    <row r="22" spans="1:29" ht="15.75">
      <c r="A22" s="47">
        <f>IF(INT(H18/1000)*1000&lt;&gt;H18,"Note: Plan contribution is not a multiple of $1000.00.","")</f>
      </c>
      <c r="B22" s="25"/>
      <c r="C22" s="5"/>
      <c r="F22" s="2"/>
      <c r="H22" s="44"/>
      <c r="I22" s="60">
        <f>IF(AND($H$17&gt;5000,($K$22*$A$50)-(1+$E$29*0.5*($A$50-1))&lt;0.25),"|","")</f>
      </c>
      <c r="J22" s="90">
        <f>J$21*$K$22</f>
        <v>2269.04</v>
      </c>
      <c r="K22" s="36">
        <f ca="1">INDEX(Federal,2,4)+INDEX(INDIRECT(prov),2,4)</f>
        <v>0.40159999999999996</v>
      </c>
      <c r="L22" s="38" t="s">
        <v>90</v>
      </c>
      <c r="AA22" s="112">
        <v>19</v>
      </c>
      <c r="AB22" s="112">
        <v>19</v>
      </c>
      <c r="AC22" s="112">
        <v>19</v>
      </c>
    </row>
    <row r="23" spans="1:29" ht="16.5" thickBot="1">
      <c r="A23" s="59"/>
      <c r="B23" s="2"/>
      <c r="C23" s="5"/>
      <c r="F23" s="2"/>
      <c r="H23" s="46"/>
      <c r="I23" s="60">
        <f>IF(AND($H$17&gt;5000,($K$22*$A$50)-(1+$E$29*0.5*($A$50-1))&lt;0.25),"-&gt;","")</f>
      </c>
      <c r="J23" s="91">
        <f>-J$20*$E$29*0.5</f>
        <v>-766.785</v>
      </c>
      <c r="K23" s="37">
        <f>$E$29*0.5</f>
        <v>0.1649</v>
      </c>
      <c r="L23" s="38" t="s">
        <v>89</v>
      </c>
      <c r="AA23" s="112">
        <v>20</v>
      </c>
      <c r="AB23" s="112">
        <v>20</v>
      </c>
      <c r="AC23" s="112">
        <v>20</v>
      </c>
    </row>
    <row r="24" spans="1:29" ht="16.5" thickBot="1">
      <c r="A24" s="25" t="str">
        <f>IF(OR(H32&lt;0,H33&lt;0,H18&gt;H17),"Note: Donation carry-forward rules may apply.","")</f>
        <v>Note: Donation carry-forward rules may apply.</v>
      </c>
      <c r="B24" s="2"/>
      <c r="C24" s="5"/>
      <c r="D24" s="65"/>
      <c r="E24" s="5"/>
      <c r="F24" s="2"/>
      <c r="G24" s="13" t="s">
        <v>14</v>
      </c>
      <c r="H24" s="42">
        <f>$E$34-H$34</f>
        <v>13879.3644</v>
      </c>
      <c r="I24" s="8"/>
      <c r="J24" s="86">
        <f>$E$34-J$34</f>
        <v>1561.4997999999996</v>
      </c>
      <c r="K24" s="17" t="s">
        <v>155</v>
      </c>
      <c r="L24" s="40" t="s">
        <v>88</v>
      </c>
      <c r="AA24" s="112">
        <v>21</v>
      </c>
      <c r="AB24" s="112">
        <v>21</v>
      </c>
      <c r="AC24" s="112">
        <v>21</v>
      </c>
    </row>
    <row r="25" spans="1:29" ht="15.75">
      <c r="A25" s="2"/>
      <c r="B25" s="2"/>
      <c r="C25" s="5"/>
      <c r="D25" s="65"/>
      <c r="E25" s="5"/>
      <c r="F25" s="2"/>
      <c r="G25" s="13" t="s">
        <v>15</v>
      </c>
      <c r="H25" s="57">
        <f>H19-H24</f>
        <v>-3879.3644000000004</v>
      </c>
      <c r="I25" s="8"/>
      <c r="J25" s="92">
        <f>J19-J24</f>
        <v>-561.4997999999996</v>
      </c>
      <c r="AA25" s="112">
        <v>22</v>
      </c>
      <c r="AB25" s="112">
        <v>22</v>
      </c>
      <c r="AC25" s="112">
        <v>22</v>
      </c>
    </row>
    <row r="26" spans="1:29" ht="15.75">
      <c r="A26" s="2"/>
      <c r="B26" s="2"/>
      <c r="C26" s="5"/>
      <c r="D26" s="70" t="s">
        <v>47</v>
      </c>
      <c r="E26" s="2"/>
      <c r="F26" s="2"/>
      <c r="G26" s="56" t="str">
        <f>IF($H$25&lt;0,"Negative cost means the","")</f>
        <v>Negative cost means the</v>
      </c>
      <c r="I26" s="2"/>
      <c r="J26" s="93"/>
      <c r="AA26" s="112">
        <v>23</v>
      </c>
      <c r="AB26" s="112">
        <v>23</v>
      </c>
      <c r="AC26" s="112">
        <v>23</v>
      </c>
    </row>
    <row r="27" spans="1:29" ht="15.75">
      <c r="A27" s="2"/>
      <c r="B27" s="2"/>
      <c r="C27" s="5"/>
      <c r="D27" s="70" t="s">
        <v>2</v>
      </c>
      <c r="E27" s="62">
        <f>VLOOKUP($E$12,Federal,3)*IF(prov="PQ",0.835,1)</f>
        <v>0.22</v>
      </c>
      <c r="F27" s="2"/>
      <c r="G27" s="56" t="str">
        <f>IF($H$25&lt;0,"government is paying you","")</f>
        <v>government is paying you</v>
      </c>
      <c r="I27" s="7"/>
      <c r="J27" s="93"/>
      <c r="AA27" s="112">
        <v>24</v>
      </c>
      <c r="AB27" s="112">
        <v>24</v>
      </c>
      <c r="AC27" s="112">
        <v>24</v>
      </c>
    </row>
    <row r="28" spans="1:29" ht="15.75">
      <c r="A28" s="2"/>
      <c r="B28" s="2"/>
      <c r="C28" s="5"/>
      <c r="D28" s="70" t="s">
        <v>3</v>
      </c>
      <c r="E28" s="63">
        <f ca="1">VLOOKUP($E$12,INDIRECT(prov),3)*(1+IF((E233-E235)&gt;INDEX(INDIRECT(prov),1,5),INDEX(INDIRECT(prov),1,6),0)+IF((E233-E235)&gt;INDEX(INDIRECT(prov),2,5),INDEX(INDIRECT(prov),2,6),0))</f>
        <v>0.1098</v>
      </c>
      <c r="F28" s="2"/>
      <c r="G28" s="56" t="str">
        <f>IF($H$25&lt;0,"to be charitable.","")</f>
        <v>to be charitable.</v>
      </c>
      <c r="I28" s="7"/>
      <c r="J28" s="93"/>
      <c r="AA28" s="112">
        <v>25</v>
      </c>
      <c r="AB28" s="112">
        <v>25</v>
      </c>
      <c r="AC28" s="112">
        <v>25</v>
      </c>
    </row>
    <row r="29" spans="1:29" ht="15.75">
      <c r="A29" s="2"/>
      <c r="B29" s="2"/>
      <c r="C29" s="5"/>
      <c r="D29" s="70" t="s">
        <v>72</v>
      </c>
      <c r="E29" s="62">
        <f>+E27+E28</f>
        <v>0.3298</v>
      </c>
      <c r="F29" s="2"/>
      <c r="I29" s="7"/>
      <c r="J29" s="94">
        <f>-J25/J19</f>
        <v>0.5614997999999995</v>
      </c>
      <c r="K29" s="17" t="s">
        <v>107</v>
      </c>
      <c r="AA29" s="112">
        <v>26</v>
      </c>
      <c r="AB29" s="112">
        <v>26</v>
      </c>
      <c r="AC29" s="112">
        <v>26</v>
      </c>
    </row>
    <row r="30" spans="1:29" ht="15.75">
      <c r="A30" s="2"/>
      <c r="B30" s="2"/>
      <c r="C30" s="5"/>
      <c r="D30" s="68"/>
      <c r="E30" s="2"/>
      <c r="F30" s="2"/>
      <c r="H30" s="29"/>
      <c r="I30" s="2"/>
      <c r="J30" s="95">
        <f>IF($A$16&lt;10,J29*12/(17-$A$16),"")</f>
      </c>
      <c r="K30" s="61">
        <f>IF($A$16&lt;10," Annualized, assuming May refund","")</f>
      </c>
      <c r="AA30" s="112">
        <v>27</v>
      </c>
      <c r="AB30" s="112">
        <v>27</v>
      </c>
      <c r="AC30" s="112">
        <v>27</v>
      </c>
    </row>
    <row r="31" spans="1:29" ht="15.75">
      <c r="A31" s="2"/>
      <c r="B31" s="2"/>
      <c r="C31" s="5"/>
      <c r="D31" s="71" t="s">
        <v>71</v>
      </c>
      <c r="E31" s="2"/>
      <c r="F31" s="2"/>
      <c r="G31" s="2"/>
      <c r="H31" s="11"/>
      <c r="I31" s="2"/>
      <c r="J31" s="93"/>
      <c r="AA31" s="112">
        <v>28</v>
      </c>
      <c r="AB31" s="112">
        <v>28</v>
      </c>
      <c r="AC31" s="112">
        <v>28</v>
      </c>
    </row>
    <row r="32" spans="1:29" ht="15.75">
      <c r="A32" s="2"/>
      <c r="B32" s="2"/>
      <c r="C32" s="5"/>
      <c r="D32" s="70" t="s">
        <v>2</v>
      </c>
      <c r="E32" s="55">
        <f>E232*IF(prov="PQ",0.835,1)</f>
        <v>10028.060000000001</v>
      </c>
      <c r="F32" s="42"/>
      <c r="G32" s="58" t="str">
        <f>IF(H32&lt;0,"Non-refundable","")</f>
        <v>Non-refundable</v>
      </c>
      <c r="H32" s="42">
        <f>H232*IF(prov="PQ",0.835,1)</f>
        <v>-460.65999999999985</v>
      </c>
      <c r="I32" s="42"/>
      <c r="J32" s="86">
        <f>J232*IF(prov="PQ",0.835,1)</f>
        <v>8927.060000000001</v>
      </c>
      <c r="AA32" s="112">
        <v>29</v>
      </c>
      <c r="AB32" s="112">
        <v>29</v>
      </c>
      <c r="AC32" s="112">
        <v>29</v>
      </c>
    </row>
    <row r="33" spans="1:29" ht="15.75">
      <c r="A33" s="2"/>
      <c r="B33" s="2"/>
      <c r="C33" s="5"/>
      <c r="D33" s="70" t="s">
        <v>3</v>
      </c>
      <c r="E33" s="55">
        <f>E237</f>
        <v>4064.5037999999995</v>
      </c>
      <c r="F33" s="42"/>
      <c r="G33" s="58">
        <f>IF(H33&lt;0,"Non-refundable","")</f>
      </c>
      <c r="H33" s="42">
        <f>H237</f>
        <v>213.1993999999995</v>
      </c>
      <c r="I33" s="57"/>
      <c r="J33" s="86">
        <f>J237</f>
        <v>3604.0039999999995</v>
      </c>
      <c r="AA33" s="112">
        <v>30</v>
      </c>
      <c r="AB33" s="112">
        <v>30</v>
      </c>
      <c r="AC33" s="112">
        <v>30</v>
      </c>
    </row>
    <row r="34" spans="1:29" ht="15.75">
      <c r="A34" s="2"/>
      <c r="B34" s="2"/>
      <c r="C34" s="5"/>
      <c r="D34" s="70" t="s">
        <v>42</v>
      </c>
      <c r="E34" s="42">
        <f>+E32+E33</f>
        <v>14092.5638</v>
      </c>
      <c r="F34" s="42"/>
      <c r="G34" s="42"/>
      <c r="H34" s="64">
        <f>IF(H32&gt;0,H32,0)+IF(H33&gt;0,H33,0)</f>
        <v>213.1993999999995</v>
      </c>
      <c r="I34" s="64"/>
      <c r="J34" s="96">
        <f>IF(J32&gt;0,J32,0)+IF(J33&gt;0,J33,0)</f>
        <v>12531.064</v>
      </c>
      <c r="AA34" s="112">
        <v>31</v>
      </c>
      <c r="AB34" s="112">
        <v>31</v>
      </c>
      <c r="AC34" s="112">
        <v>31</v>
      </c>
    </row>
    <row r="35" spans="1:29" ht="15.75">
      <c r="A35" s="2"/>
      <c r="B35" s="2"/>
      <c r="C35" s="5"/>
      <c r="D35" s="70"/>
      <c r="E35" s="22"/>
      <c r="F35" s="2"/>
      <c r="G35" s="2"/>
      <c r="H35" s="22"/>
      <c r="I35" s="2"/>
      <c r="J35" s="97"/>
      <c r="AA35" s="112">
        <v>32</v>
      </c>
      <c r="AB35" s="112">
        <v>32</v>
      </c>
      <c r="AC35" s="112">
        <v>32</v>
      </c>
    </row>
    <row r="36" spans="1:29" ht="15.75">
      <c r="A36" s="2"/>
      <c r="B36" s="2"/>
      <c r="D36" s="68" t="s">
        <v>85</v>
      </c>
      <c r="E36" s="7"/>
      <c r="F36" s="2"/>
      <c r="G36" s="2"/>
      <c r="H36" s="7"/>
      <c r="I36" s="2"/>
      <c r="J36" s="102"/>
      <c r="AA36" s="112">
        <v>33</v>
      </c>
      <c r="AB36" s="112">
        <v>33</v>
      </c>
      <c r="AC36" s="112">
        <v>33</v>
      </c>
    </row>
    <row r="37" spans="1:29" ht="15.75">
      <c r="A37" s="2"/>
      <c r="B37" s="2"/>
      <c r="C37" s="5"/>
      <c r="D37" s="68" t="str">
        <f>IF(OR(prov="NF",prov="NS",prov="ON",prov="PE",prov="YT"),"Provincial surtax requires personalized calculation.","")</f>
        <v>Provincial surtax requires personalized calculation.</v>
      </c>
      <c r="E37" s="7"/>
      <c r="F37" s="2"/>
      <c r="G37" s="2"/>
      <c r="H37" s="7"/>
      <c r="I37" s="2"/>
      <c r="J37" s="104">
        <f>IF($A$17="Install"," Installments","")</f>
      </c>
      <c r="K37" s="105"/>
      <c r="L37" s="44"/>
      <c r="AA37" s="112">
        <v>34</v>
      </c>
      <c r="AB37" s="112">
        <v>34</v>
      </c>
      <c r="AC37" s="112">
        <v>34</v>
      </c>
    </row>
    <row r="38" spans="1:29" ht="15.75">
      <c r="A38" s="16" t="s">
        <v>19</v>
      </c>
      <c r="B38" s="16"/>
      <c r="C38" s="68"/>
      <c r="D38" s="68"/>
      <c r="E38" s="2"/>
      <c r="F38" s="2"/>
      <c r="G38" s="2"/>
      <c r="H38" s="2"/>
      <c r="I38" s="2"/>
      <c r="J38" s="106">
        <f>IF($A$17="Install",J241,"")</f>
      </c>
      <c r="K38" s="107">
        <f ca="1">IF($A$17="Install",MAX(TODAY(),DATE(2003,$A$16,1)),"")</f>
      </c>
      <c r="AA38" s="112">
        <v>35</v>
      </c>
      <c r="AB38" s="112">
        <v>35</v>
      </c>
      <c r="AC38" s="112">
        <v>35</v>
      </c>
    </row>
    <row r="39" spans="1:29" ht="15.75">
      <c r="A39" s="16"/>
      <c r="B39" s="16" t="s">
        <v>179</v>
      </c>
      <c r="D39" s="69"/>
      <c r="E39" s="2"/>
      <c r="F39" s="2"/>
      <c r="G39" s="2"/>
      <c r="H39" s="2"/>
      <c r="I39" s="2"/>
      <c r="J39" s="106">
        <f>IF(AND($A$16&lt;12,$A$17="Install"),J$242,"")</f>
      </c>
      <c r="K39" s="107">
        <f ca="1">IF(AND($A$16&lt;12,$A$17="Install"),MAX(TODAY(),DATE(2003,$A$16+1,1)),"")</f>
      </c>
      <c r="L39" s="9"/>
      <c r="AA39" s="112">
        <v>36</v>
      </c>
      <c r="AB39" s="112">
        <v>36</v>
      </c>
      <c r="AC39" s="112">
        <v>36</v>
      </c>
    </row>
    <row r="40" spans="1:29" ht="15.75">
      <c r="A40" s="16"/>
      <c r="B40" s="16" t="s">
        <v>20</v>
      </c>
      <c r="D40" s="68"/>
      <c r="E40" s="2"/>
      <c r="F40" s="2"/>
      <c r="G40" s="2"/>
      <c r="H40" s="2"/>
      <c r="I40" s="2"/>
      <c r="J40" s="106">
        <f>IF(AND($A$17="Install",$A$16&lt;11),(J$19-J$38)/(12-$A$16),"")</f>
      </c>
      <c r="K40" s="107">
        <f ca="1">IF(AND($A$17="Install",$A$16&lt;11),MAX(TODAY(),DATE(2003,$A$16+2,1)),"")</f>
      </c>
      <c r="AA40" s="112">
        <v>37</v>
      </c>
      <c r="AB40" s="112">
        <v>37</v>
      </c>
      <c r="AC40" s="112">
        <v>37</v>
      </c>
    </row>
    <row r="41" spans="1:29" ht="15.75">
      <c r="A41" s="16"/>
      <c r="B41" s="16" t="s">
        <v>110</v>
      </c>
      <c r="D41" s="69"/>
      <c r="E41" s="2"/>
      <c r="F41" s="2"/>
      <c r="G41" s="2"/>
      <c r="H41" s="2"/>
      <c r="I41" s="2"/>
      <c r="J41" s="106">
        <f>IF(AND($A$17="Install",$A$16&lt;10),(J$19-J$38)/(12-$A$16),"")</f>
      </c>
      <c r="K41" s="107">
        <f ca="1">IF(AND($A$17="Install",$A$16&lt;10),MAX(TODAY(),DATE(2003,$A$16+3,1)),"")</f>
      </c>
      <c r="AA41" s="112">
        <v>38</v>
      </c>
      <c r="AB41" s="112">
        <v>38</v>
      </c>
      <c r="AC41" s="112">
        <v>38</v>
      </c>
    </row>
    <row r="42" spans="1:29" ht="15.75">
      <c r="A42" s="2"/>
      <c r="B42" s="16" t="s">
        <v>74</v>
      </c>
      <c r="E42" s="2"/>
      <c r="F42" s="2"/>
      <c r="G42" s="2"/>
      <c r="H42" s="2"/>
      <c r="I42" s="2"/>
      <c r="J42" s="106">
        <f>IF(AND($A$17="Install",$A$16&lt;9),(J$19-J$38)/(12-$A$16),"")</f>
      </c>
      <c r="K42" s="107">
        <f ca="1">IF(AND($A$17="Install",$A$16&lt;9),MAX(TODAY(),DATE(2003,$A$16+4,1)),"")</f>
      </c>
      <c r="AA42" s="112">
        <v>39</v>
      </c>
      <c r="AB42" s="112">
        <v>39</v>
      </c>
      <c r="AC42" s="112">
        <v>39</v>
      </c>
    </row>
    <row r="43" spans="1:29" ht="15.75">
      <c r="A43" s="2"/>
      <c r="B43" s="2"/>
      <c r="E43" s="48">
        <f>7634+1673.2+858</f>
        <v>10165.2</v>
      </c>
      <c r="F43" s="16" t="s">
        <v>75</v>
      </c>
      <c r="G43" s="2"/>
      <c r="H43" s="7"/>
      <c r="I43" s="2"/>
      <c r="J43" s="106">
        <f>IF(AND($A$17="Install",$A$16&lt;8),(J$19-J$38)/(12-$A$16),"")</f>
      </c>
      <c r="K43" s="107">
        <f ca="1">IF(AND($A$17="Install",$A$16&lt;8),MAX(TODAY(),DATE(2003,$A$16+5,1)),"")</f>
      </c>
      <c r="AA43" s="112">
        <v>40</v>
      </c>
      <c r="AB43" s="112">
        <v>40</v>
      </c>
      <c r="AC43" s="112">
        <v>40</v>
      </c>
    </row>
    <row r="44" spans="1:29" ht="15.75">
      <c r="A44" s="2"/>
      <c r="B44" s="2"/>
      <c r="E44" s="15">
        <f>E43+6482</f>
        <v>16647.2</v>
      </c>
      <c r="F44" s="16" t="s">
        <v>76</v>
      </c>
      <c r="G44" s="2"/>
      <c r="H44" s="7"/>
      <c r="I44" s="2"/>
      <c r="J44" s="106">
        <f>IF(AND($A$17="Install",$A$16&lt;7),(J$19-J$38)/(12-$A$16),"")</f>
      </c>
      <c r="K44" s="107">
        <f ca="1">IF(AND($A$17="Install",$A$16&lt;7),MAX(TODAY(),DATE(2003,$A$16+6,1)),"")</f>
      </c>
      <c r="AA44" s="112">
        <v>41</v>
      </c>
      <c r="AB44" s="112">
        <v>41</v>
      </c>
      <c r="AC44" s="112">
        <v>41</v>
      </c>
    </row>
    <row r="45" spans="1:29" ht="15.75">
      <c r="A45" s="17" t="s">
        <v>162</v>
      </c>
      <c r="B45" s="111" t="str">
        <f>VLOOKUP(Availability,Agent_Table,2)</f>
        <v> Hamilton, Burlington, Oakville, Mississauga</v>
      </c>
      <c r="I45" s="2"/>
      <c r="J45" s="106">
        <f>IF(AND($A$17="Install",$A$16&lt;6),(J$19-J$38)/(12-$A$16),"")</f>
      </c>
      <c r="K45" s="107">
        <f ca="1">IF(AND($A$17="Install",$A$16&lt;6),MAX(TODAY(),DATE(2003,$A$16+7,1)),"")</f>
      </c>
      <c r="AA45" s="112">
        <v>42</v>
      </c>
      <c r="AB45" s="112">
        <v>42</v>
      </c>
      <c r="AC45" s="112">
        <v>42</v>
      </c>
    </row>
    <row r="46" spans="1:29" ht="15.75">
      <c r="A46" s="110">
        <v>2</v>
      </c>
      <c r="B46" s="111" t="str">
        <f>VLOOKUP(Availability,Agent_Table,3)</f>
        <v> John Harris   j.harris@ieee.org</v>
      </c>
      <c r="F46" s="17"/>
      <c r="I46" s="2"/>
      <c r="J46" s="106">
        <f>IF($A$16&lt;5,(J$19-J$38)/(12-$A$16),"")</f>
      </c>
      <c r="K46" s="107">
        <f ca="1">IF(AND($A$17="Install",$A$16&lt;5),MAX(TODAY(),DATE(2003,$A$16+8,1)),"")</f>
      </c>
      <c r="AA46" s="112">
        <v>43</v>
      </c>
      <c r="AB46" s="112">
        <v>43</v>
      </c>
      <c r="AC46" s="112">
        <v>43</v>
      </c>
    </row>
    <row r="47" spans="9:29" ht="15.75">
      <c r="I47" s="2"/>
      <c r="J47" s="103"/>
      <c r="AA47" s="112">
        <v>44</v>
      </c>
      <c r="AB47" s="112">
        <v>44</v>
      </c>
      <c r="AC47" s="112">
        <v>44</v>
      </c>
    </row>
    <row r="48" spans="1:29" ht="15.75">
      <c r="A48" s="2"/>
      <c r="B48" s="67" t="s">
        <v>118</v>
      </c>
      <c r="C48" s="5"/>
      <c r="E48" s="83">
        <v>0</v>
      </c>
      <c r="F48" s="2"/>
      <c r="G48" s="2"/>
      <c r="H48" s="5"/>
      <c r="I48" s="50"/>
      <c r="J48" s="8"/>
      <c r="AA48" s="112">
        <v>45</v>
      </c>
      <c r="AB48" s="112">
        <v>45</v>
      </c>
      <c r="AC48" s="112">
        <v>45</v>
      </c>
    </row>
    <row r="49" spans="1:29" ht="15.75">
      <c r="A49" s="1"/>
      <c r="B49" s="2"/>
      <c r="C49" s="5"/>
      <c r="D49" s="65"/>
      <c r="H49" s="49"/>
      <c r="I49" s="49"/>
      <c r="J49" s="8"/>
      <c r="AA49" s="112">
        <v>46</v>
      </c>
      <c r="AB49" s="112">
        <v>46</v>
      </c>
      <c r="AC49" s="112">
        <v>46</v>
      </c>
    </row>
    <row r="50" spans="1:29" ht="15.75">
      <c r="A50" s="27">
        <v>5.65</v>
      </c>
      <c r="B50" s="27"/>
      <c r="C50" s="34" t="s">
        <v>46</v>
      </c>
      <c r="E50" s="9"/>
      <c r="F50" s="73"/>
      <c r="I50" s="10"/>
      <c r="J50" s="10"/>
      <c r="AA50" s="112">
        <v>47</v>
      </c>
      <c r="AB50" s="112">
        <v>47</v>
      </c>
      <c r="AC50" s="112">
        <v>47</v>
      </c>
    </row>
    <row r="51" spans="1:10" ht="15.75">
      <c r="A51" s="54">
        <f>IF($A$50&lt;&gt;5.65,"Warning! Reset gross-up rate to 5.65.","")</f>
      </c>
      <c r="B51" s="26"/>
      <c r="E51" s="9"/>
      <c r="F51" s="73"/>
      <c r="I51" s="10"/>
      <c r="J51" s="10"/>
    </row>
    <row r="52" spans="1:10" ht="15.75">
      <c r="A52" s="28" t="s">
        <v>32</v>
      </c>
      <c r="B52" s="32"/>
      <c r="C52" s="5"/>
      <c r="D52" s="5"/>
      <c r="E52" s="8"/>
      <c r="F52" s="77" t="s">
        <v>108</v>
      </c>
      <c r="J52" s="8"/>
    </row>
    <row r="53" spans="1:10" ht="15.75">
      <c r="A53" s="1" t="s">
        <v>22</v>
      </c>
      <c r="B53" s="2"/>
      <c r="C53" s="5"/>
      <c r="D53" s="5"/>
      <c r="E53" s="8"/>
      <c r="F53" s="78" t="s">
        <v>109</v>
      </c>
      <c r="J53" s="8"/>
    </row>
    <row r="54" spans="1:10" ht="15.75">
      <c r="A54" s="1" t="s">
        <v>23</v>
      </c>
      <c r="B54" s="2"/>
      <c r="C54" s="5"/>
      <c r="D54" s="5"/>
      <c r="E54" s="8"/>
      <c r="F54" s="78" t="s">
        <v>109</v>
      </c>
      <c r="J54" s="8"/>
    </row>
    <row r="55" spans="1:10" ht="15.75">
      <c r="A55" s="1" t="s">
        <v>24</v>
      </c>
      <c r="B55" s="2"/>
      <c r="C55" s="5"/>
      <c r="D55" s="5"/>
      <c r="E55" s="8"/>
      <c r="F55" s="78" t="s">
        <v>109</v>
      </c>
      <c r="J55" s="8"/>
    </row>
    <row r="56" spans="1:10" ht="15.75">
      <c r="A56" s="1" t="s">
        <v>25</v>
      </c>
      <c r="B56" s="2"/>
      <c r="C56" s="5"/>
      <c r="D56" s="5"/>
      <c r="E56" s="8"/>
      <c r="F56" s="78" t="s">
        <v>109</v>
      </c>
      <c r="J56" s="8"/>
    </row>
    <row r="57" spans="1:10" ht="15.75">
      <c r="A57" s="1" t="s">
        <v>35</v>
      </c>
      <c r="B57" s="2"/>
      <c r="C57" s="5"/>
      <c r="D57" s="5"/>
      <c r="E57" s="8"/>
      <c r="F57" s="79">
        <v>0.09</v>
      </c>
      <c r="J57" s="8"/>
    </row>
    <row r="58" spans="1:10" ht="15.75">
      <c r="A58" s="1" t="s">
        <v>27</v>
      </c>
      <c r="B58" s="2"/>
      <c r="C58" s="5"/>
      <c r="D58" s="5"/>
      <c r="E58" s="8"/>
      <c r="F58" s="79">
        <v>0.1</v>
      </c>
      <c r="J58" s="8"/>
    </row>
    <row r="59" spans="1:10" ht="15.75">
      <c r="A59" s="1" t="s">
        <v>26</v>
      </c>
      <c r="B59" s="2"/>
      <c r="C59" s="5"/>
      <c r="D59" s="5"/>
      <c r="E59" s="8"/>
      <c r="F59" s="78" t="s">
        <v>109</v>
      </c>
      <c r="J59" s="8"/>
    </row>
    <row r="60" spans="1:10" ht="15.75">
      <c r="A60" s="1" t="s">
        <v>34</v>
      </c>
      <c r="B60" s="2"/>
      <c r="C60" s="5"/>
      <c r="D60" s="5"/>
      <c r="E60" s="8"/>
      <c r="F60" s="78" t="s">
        <v>109</v>
      </c>
      <c r="J60" s="8"/>
    </row>
    <row r="61" spans="1:10" ht="15.75">
      <c r="A61" s="2" t="s">
        <v>28</v>
      </c>
      <c r="B61" s="2"/>
      <c r="C61" s="5"/>
      <c r="D61" s="5"/>
      <c r="E61" s="8"/>
      <c r="F61" s="79">
        <v>0.56</v>
      </c>
      <c r="J61" s="8"/>
    </row>
    <row r="62" spans="1:10" ht="15.75">
      <c r="A62" s="1" t="s">
        <v>29</v>
      </c>
      <c r="B62" s="2"/>
      <c r="C62" s="5"/>
      <c r="D62" s="5"/>
      <c r="E62" s="8"/>
      <c r="F62" s="79">
        <v>0.1</v>
      </c>
      <c r="J62" s="8"/>
    </row>
    <row r="63" spans="1:10" ht="15.75">
      <c r="A63" s="1" t="s">
        <v>30</v>
      </c>
      <c r="B63" s="2"/>
      <c r="C63" s="5"/>
      <c r="D63" s="5"/>
      <c r="E63" s="8"/>
      <c r="F63" s="78" t="s">
        <v>109</v>
      </c>
      <c r="J63" s="8"/>
    </row>
    <row r="64" spans="1:10" ht="15.75">
      <c r="A64" s="1" t="s">
        <v>31</v>
      </c>
      <c r="B64" s="2"/>
      <c r="C64" s="5"/>
      <c r="D64" s="5"/>
      <c r="E64" s="8"/>
      <c r="F64" s="78" t="s">
        <v>109</v>
      </c>
      <c r="J64" s="8"/>
    </row>
    <row r="65" spans="1:10" ht="15.75">
      <c r="A65" s="1" t="s">
        <v>33</v>
      </c>
      <c r="B65" s="2"/>
      <c r="C65" s="5"/>
      <c r="D65" s="5"/>
      <c r="E65" s="8"/>
      <c r="F65" s="79">
        <v>0.05</v>
      </c>
      <c r="J65" s="8"/>
    </row>
    <row r="66" spans="1:10" ht="15.75">
      <c r="A66" s="1"/>
      <c r="B66" s="2"/>
      <c r="C66" s="5"/>
      <c r="D66" s="5"/>
      <c r="E66" s="8"/>
      <c r="F66" s="34"/>
      <c r="J66" s="8"/>
    </row>
    <row r="67" spans="1:10" ht="15.75">
      <c r="A67" s="1"/>
      <c r="B67" s="2"/>
      <c r="C67" s="5"/>
      <c r="D67" s="5"/>
      <c r="E67" s="8"/>
      <c r="F67" s="34"/>
      <c r="J67" s="8"/>
    </row>
    <row r="68" spans="1:10" ht="15.75">
      <c r="A68" s="1"/>
      <c r="C68" s="5"/>
      <c r="D68" s="65"/>
      <c r="E68" s="42"/>
      <c r="F68" s="34"/>
      <c r="J68" s="8"/>
    </row>
    <row r="69" spans="1:10" ht="15.75">
      <c r="A69" s="1"/>
      <c r="B69" s="2"/>
      <c r="C69" s="5"/>
      <c r="D69" s="5"/>
      <c r="E69" s="8"/>
      <c r="F69" s="34"/>
      <c r="J69" s="8"/>
    </row>
    <row r="70" spans="1:10" ht="15.75">
      <c r="A70" s="1"/>
      <c r="B70" s="2"/>
      <c r="C70" s="5"/>
      <c r="D70" s="5"/>
      <c r="E70" s="8"/>
      <c r="F70" s="34"/>
      <c r="J70" s="8"/>
    </row>
    <row r="71" spans="1:10" ht="15.75">
      <c r="A71" s="1"/>
      <c r="B71" s="2"/>
      <c r="C71" s="5"/>
      <c r="D71" s="5"/>
      <c r="E71" s="8"/>
      <c r="F71" s="34"/>
      <c r="J71" s="8"/>
    </row>
    <row r="72" spans="1:10" ht="15.75">
      <c r="A72" s="1"/>
      <c r="B72" s="2"/>
      <c r="C72" s="5"/>
      <c r="D72" s="5"/>
      <c r="E72" s="8"/>
      <c r="F72" s="34"/>
      <c r="J72" s="8"/>
    </row>
    <row r="73" spans="1:10" ht="15.75">
      <c r="A73" s="1"/>
      <c r="B73" s="2"/>
      <c r="C73" s="5"/>
      <c r="D73" s="5"/>
      <c r="E73" s="8"/>
      <c r="F73" s="34"/>
      <c r="J73" s="8"/>
    </row>
    <row r="74" spans="1:10" ht="15.75">
      <c r="A74" s="1"/>
      <c r="B74" s="2"/>
      <c r="C74" s="5"/>
      <c r="D74" s="5"/>
      <c r="E74" s="8"/>
      <c r="F74" s="34"/>
      <c r="J74" s="8"/>
    </row>
    <row r="75" spans="1:10" ht="15.75">
      <c r="A75" s="1" t="str">
        <f>REPT(" -",50)</f>
        <v> - - - - - - - - - - - - - - - - - - - - - - - - - - - - - - - - - - - - - - - - - - - - - - - - - -</v>
      </c>
      <c r="B75" s="2"/>
      <c r="C75" s="5"/>
      <c r="D75" s="5"/>
      <c r="E75" s="8"/>
      <c r="F75" s="34"/>
      <c r="J75" s="8"/>
    </row>
    <row r="76" spans="1:10" ht="15.75">
      <c r="A76" s="23" t="s">
        <v>18</v>
      </c>
      <c r="B76" s="24"/>
      <c r="C76" s="5"/>
      <c r="D76" s="5"/>
      <c r="E76" s="8"/>
      <c r="F76" s="34"/>
      <c r="J76" s="8"/>
    </row>
    <row r="77" spans="1:12" ht="15.75" hidden="1">
      <c r="A77" s="2"/>
      <c r="B77" s="2"/>
      <c r="C77" s="5"/>
      <c r="D77" s="5"/>
      <c r="E77" s="8"/>
      <c r="F77" s="34"/>
      <c r="J77" s="8"/>
      <c r="L77" t="s">
        <v>91</v>
      </c>
    </row>
    <row r="78" spans="1:13" ht="15.75" hidden="1">
      <c r="A78" t="s">
        <v>16</v>
      </c>
      <c r="D78" s="5"/>
      <c r="E78" s="2"/>
      <c r="F78" s="34"/>
      <c r="L78" t="s">
        <v>92</v>
      </c>
      <c r="M78">
        <v>10000</v>
      </c>
    </row>
    <row r="79" spans="4:14" ht="15.75" hidden="1">
      <c r="D79" s="5"/>
      <c r="E79" s="2"/>
      <c r="F79" s="34"/>
      <c r="L79" t="s">
        <v>93</v>
      </c>
      <c r="M79" s="35">
        <v>5.65</v>
      </c>
      <c r="N79" t="s">
        <v>101</v>
      </c>
    </row>
    <row r="80" spans="1:13" ht="15.75" hidden="1">
      <c r="A80" s="9" t="s">
        <v>143</v>
      </c>
      <c r="B80" s="9" t="s">
        <v>144</v>
      </c>
      <c r="C80" s="73"/>
      <c r="D80" s="73"/>
      <c r="E80" s="9"/>
      <c r="F80" s="34"/>
      <c r="G80" s="10"/>
      <c r="I80" s="10"/>
      <c r="J80" s="10"/>
      <c r="L80" t="s">
        <v>94</v>
      </c>
      <c r="M80">
        <f>M78*M79</f>
        <v>56500</v>
      </c>
    </row>
    <row r="81" spans="1:17" ht="15.75" hidden="1">
      <c r="A81" s="9" t="s">
        <v>141</v>
      </c>
      <c r="B81" s="9" t="s">
        <v>142</v>
      </c>
      <c r="C81" s="73"/>
      <c r="D81" s="73"/>
      <c r="E81" s="9"/>
      <c r="F81" s="34"/>
      <c r="G81" s="10"/>
      <c r="I81" s="10"/>
      <c r="J81" s="10"/>
      <c r="L81" t="s">
        <v>95</v>
      </c>
      <c r="M81">
        <f>M78*(M79-1)</f>
        <v>46500</v>
      </c>
      <c r="Q81" t="s">
        <v>113</v>
      </c>
    </row>
    <row r="82" spans="1:26" ht="15.75" hidden="1">
      <c r="A82" s="10" t="s">
        <v>2</v>
      </c>
      <c r="B82" s="10" t="s">
        <v>130</v>
      </c>
      <c r="C82" s="73"/>
      <c r="D82" s="73"/>
      <c r="E82" s="9"/>
      <c r="F82" s="34"/>
      <c r="G82" s="10"/>
      <c r="H82" s="10"/>
      <c r="I82" s="10"/>
      <c r="J82" s="10"/>
      <c r="L82" t="s">
        <v>111</v>
      </c>
      <c r="M82" s="29">
        <v>0.1116</v>
      </c>
      <c r="N82" s="29">
        <v>0.24</v>
      </c>
      <c r="O82" s="29">
        <v>0.1784</v>
      </c>
      <c r="P82" s="29">
        <v>0.174</v>
      </c>
      <c r="Q82" s="29">
        <v>0.15</v>
      </c>
      <c r="R82" s="29">
        <v>0.147</v>
      </c>
      <c r="S82" s="29">
        <v>0.1</v>
      </c>
      <c r="T82" s="29">
        <v>0.1667</v>
      </c>
      <c r="U82" s="29">
        <v>0.167</v>
      </c>
      <c r="V82" s="29">
        <v>0.1802</v>
      </c>
      <c r="W82" s="29">
        <v>0.29</v>
      </c>
      <c r="X82" s="29">
        <v>0.1305</v>
      </c>
      <c r="Y82" s="29">
        <v>0.115</v>
      </c>
      <c r="Z82" s="29">
        <v>0.1276</v>
      </c>
    </row>
    <row r="83" spans="1:26" ht="15.75" hidden="1">
      <c r="A83" s="10" t="s">
        <v>7</v>
      </c>
      <c r="B83" s="10" t="s">
        <v>128</v>
      </c>
      <c r="C83" s="73"/>
      <c r="D83" s="73"/>
      <c r="E83" s="9"/>
      <c r="F83" s="73"/>
      <c r="G83" s="10"/>
      <c r="I83" s="10"/>
      <c r="J83" s="10"/>
      <c r="L83" t="s">
        <v>108</v>
      </c>
      <c r="M83" s="29">
        <v>0.56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0.1</v>
      </c>
      <c r="U83" s="29">
        <v>0.1</v>
      </c>
      <c r="V83" s="29">
        <v>0.09</v>
      </c>
      <c r="W83" s="29">
        <v>0</v>
      </c>
      <c r="X83" s="29">
        <v>0</v>
      </c>
      <c r="Y83" s="29">
        <v>0</v>
      </c>
      <c r="Z83" s="29">
        <v>0.05</v>
      </c>
    </row>
    <row r="84" spans="1:26" ht="15.75" hidden="1">
      <c r="A84" s="10" t="s">
        <v>8</v>
      </c>
      <c r="B84" s="10" t="s">
        <v>129</v>
      </c>
      <c r="C84" s="73"/>
      <c r="D84" s="73"/>
      <c r="E84" s="9"/>
      <c r="F84" s="73"/>
      <c r="G84" s="10"/>
      <c r="I84" s="10"/>
      <c r="J84" s="10"/>
      <c r="L84" t="s">
        <v>114</v>
      </c>
      <c r="M84" s="29">
        <f>M82*(1+M83)</f>
        <v>0.174096</v>
      </c>
      <c r="N84" s="29">
        <f aca="true" t="shared" si="0" ref="N84:Z84">N82*(1+N83)</f>
        <v>0.24</v>
      </c>
      <c r="O84" s="29">
        <f t="shared" si="0"/>
        <v>0.1784</v>
      </c>
      <c r="P84" s="29">
        <f t="shared" si="0"/>
        <v>0.174</v>
      </c>
      <c r="Q84" s="29">
        <f t="shared" si="0"/>
        <v>0.15</v>
      </c>
      <c r="R84" s="29">
        <f t="shared" si="0"/>
        <v>0.147</v>
      </c>
      <c r="S84" s="29">
        <f t="shared" si="0"/>
        <v>0.1</v>
      </c>
      <c r="T84" s="29">
        <f t="shared" si="0"/>
        <v>0.18337</v>
      </c>
      <c r="U84" s="29">
        <f t="shared" si="0"/>
        <v>0.18370000000000003</v>
      </c>
      <c r="V84" s="29">
        <f t="shared" si="0"/>
        <v>0.196418</v>
      </c>
      <c r="W84" s="29">
        <f t="shared" si="0"/>
        <v>0.29</v>
      </c>
      <c r="X84" s="29">
        <f t="shared" si="0"/>
        <v>0.1305</v>
      </c>
      <c r="Y84" s="29">
        <f t="shared" si="0"/>
        <v>0.115</v>
      </c>
      <c r="Z84" s="29">
        <f t="shared" si="0"/>
        <v>0.13398</v>
      </c>
    </row>
    <row r="85" spans="1:26" ht="15.75" hidden="1">
      <c r="A85" s="10" t="s">
        <v>36</v>
      </c>
      <c r="B85" s="10" t="s">
        <v>131</v>
      </c>
      <c r="C85" s="73"/>
      <c r="D85" s="73"/>
      <c r="E85" s="9"/>
      <c r="F85" s="73"/>
      <c r="G85" s="10"/>
      <c r="I85" s="10"/>
      <c r="J85" s="10"/>
      <c r="L85" t="s">
        <v>112</v>
      </c>
      <c r="M85" s="29">
        <f aca="true" t="shared" si="1" ref="M85:R85">M82</f>
        <v>0.1116</v>
      </c>
      <c r="N85" s="29">
        <f t="shared" si="1"/>
        <v>0.24</v>
      </c>
      <c r="O85" s="29">
        <f t="shared" si="1"/>
        <v>0.1784</v>
      </c>
      <c r="P85" s="29">
        <f t="shared" si="1"/>
        <v>0.174</v>
      </c>
      <c r="Q85" s="29">
        <f t="shared" si="1"/>
        <v>0.15</v>
      </c>
      <c r="R85" s="29">
        <f t="shared" si="1"/>
        <v>0.147</v>
      </c>
      <c r="S85" s="29">
        <v>0.1275</v>
      </c>
      <c r="T85" s="29">
        <f aca="true" t="shared" si="2" ref="T85:Z85">T82</f>
        <v>0.1667</v>
      </c>
      <c r="U85" s="29">
        <f t="shared" si="2"/>
        <v>0.167</v>
      </c>
      <c r="V85" s="29">
        <f t="shared" si="2"/>
        <v>0.1802</v>
      </c>
      <c r="W85" s="29">
        <f t="shared" si="2"/>
        <v>0.29</v>
      </c>
      <c r="X85" s="29">
        <f t="shared" si="2"/>
        <v>0.1305</v>
      </c>
      <c r="Y85" s="29">
        <f t="shared" si="2"/>
        <v>0.115</v>
      </c>
      <c r="Z85" s="29">
        <f t="shared" si="2"/>
        <v>0.1276</v>
      </c>
    </row>
    <row r="86" spans="1:26" ht="15.75" hidden="1">
      <c r="A86" s="10" t="s">
        <v>11</v>
      </c>
      <c r="B86" s="10" t="s">
        <v>132</v>
      </c>
      <c r="C86" s="73"/>
      <c r="D86" s="73"/>
      <c r="E86" s="9"/>
      <c r="F86" s="73"/>
      <c r="G86" s="10"/>
      <c r="I86" s="10"/>
      <c r="J86" s="10"/>
      <c r="L86" t="s">
        <v>96</v>
      </c>
      <c r="M86" t="s">
        <v>10</v>
      </c>
      <c r="N86" t="s">
        <v>9</v>
      </c>
      <c r="O86" t="s">
        <v>11</v>
      </c>
      <c r="P86" t="s">
        <v>36</v>
      </c>
      <c r="Q86" t="s">
        <v>40</v>
      </c>
      <c r="R86" t="s">
        <v>8</v>
      </c>
      <c r="S86" t="s">
        <v>7</v>
      </c>
      <c r="T86" t="s">
        <v>12</v>
      </c>
      <c r="U86" t="s">
        <v>13</v>
      </c>
      <c r="V86" t="s">
        <v>37</v>
      </c>
      <c r="W86" t="s">
        <v>2</v>
      </c>
      <c r="X86" t="s">
        <v>38</v>
      </c>
      <c r="Y86" t="s">
        <v>39</v>
      </c>
      <c r="Z86" t="s">
        <v>41</v>
      </c>
    </row>
    <row r="87" spans="1:22" ht="15.75" hidden="1">
      <c r="A87" s="10" t="s">
        <v>37</v>
      </c>
      <c r="B87" s="10" t="s">
        <v>133</v>
      </c>
      <c r="C87" s="73"/>
      <c r="D87" s="73"/>
      <c r="E87" s="9"/>
      <c r="F87" s="73"/>
      <c r="G87" s="10"/>
      <c r="I87" s="10"/>
      <c r="J87" s="10"/>
      <c r="L87" t="s">
        <v>97</v>
      </c>
      <c r="M87">
        <v>26222</v>
      </c>
      <c r="N87">
        <v>27244</v>
      </c>
      <c r="O87">
        <v>26465</v>
      </c>
      <c r="P87">
        <v>26216</v>
      </c>
      <c r="Q87">
        <v>25143</v>
      </c>
      <c r="R87">
        <v>24691</v>
      </c>
      <c r="S87">
        <v>23589</v>
      </c>
      <c r="T87">
        <v>24691</v>
      </c>
      <c r="U87">
        <v>24691</v>
      </c>
      <c r="V87">
        <v>24691</v>
      </c>
    </row>
    <row r="88" spans="1:22" ht="15.75" hidden="1">
      <c r="A88" s="10" t="s">
        <v>12</v>
      </c>
      <c r="B88" s="10" t="s">
        <v>134</v>
      </c>
      <c r="C88" s="73"/>
      <c r="D88" s="73"/>
      <c r="E88" s="9"/>
      <c r="F88" s="73"/>
      <c r="G88" s="10"/>
      <c r="I88" s="10"/>
      <c r="J88" s="10"/>
      <c r="K88" t="s">
        <v>104</v>
      </c>
      <c r="L88" t="s">
        <v>98</v>
      </c>
      <c r="M88" s="29">
        <f aca="true" t="shared" si="3" ref="M88:V88">M87/$M80</f>
        <v>0.4641061946902655</v>
      </c>
      <c r="N88" s="29">
        <f t="shared" si="3"/>
        <v>0.4821946902654867</v>
      </c>
      <c r="O88" s="29">
        <f t="shared" si="3"/>
        <v>0.4684070796460177</v>
      </c>
      <c r="P88" s="29">
        <f t="shared" si="3"/>
        <v>0.464</v>
      </c>
      <c r="Q88" s="29">
        <f t="shared" si="3"/>
        <v>0.4450088495575221</v>
      </c>
      <c r="R88" s="29">
        <f t="shared" si="3"/>
        <v>0.4370088495575221</v>
      </c>
      <c r="S88" s="29">
        <f t="shared" si="3"/>
        <v>0.41750442477876104</v>
      </c>
      <c r="T88" s="29">
        <f t="shared" si="3"/>
        <v>0.4370088495575221</v>
      </c>
      <c r="U88" s="29">
        <f t="shared" si="3"/>
        <v>0.4370088495575221</v>
      </c>
      <c r="V88" s="29">
        <f t="shared" si="3"/>
        <v>0.4370088495575221</v>
      </c>
    </row>
    <row r="89" spans="1:22" ht="15.75" hidden="1">
      <c r="A89" s="10" t="s">
        <v>38</v>
      </c>
      <c r="B89" s="10" t="s">
        <v>135</v>
      </c>
      <c r="C89" s="73"/>
      <c r="D89" s="73"/>
      <c r="E89" s="2"/>
      <c r="F89" s="34"/>
      <c r="G89" s="10"/>
      <c r="K89" t="s">
        <v>105</v>
      </c>
      <c r="L89" t="s">
        <v>98</v>
      </c>
      <c r="M89" s="29">
        <f ca="1">INDEX(Federal,2,4)+INDEX(INDIRECT(M86),2,4)</f>
        <v>0.40159999999999996</v>
      </c>
      <c r="N89" s="29">
        <f aca="true" ca="1" t="shared" si="4" ref="N89:V89">INDEX(Federal,2,4)+INDEX(INDIRECT(N86),2,4)</f>
        <v>0.53</v>
      </c>
      <c r="O89" s="29">
        <f ca="1" t="shared" si="4"/>
        <v>0.4684</v>
      </c>
      <c r="P89" s="29">
        <f ca="1" t="shared" si="4"/>
        <v>0.46399999999999997</v>
      </c>
      <c r="Q89" s="29">
        <f ca="1" t="shared" si="4"/>
        <v>0.43999999999999995</v>
      </c>
      <c r="R89" s="29">
        <f ca="1" t="shared" si="4"/>
        <v>0.43699999999999994</v>
      </c>
      <c r="S89" s="29">
        <f ca="1" t="shared" si="4"/>
        <v>0.4175</v>
      </c>
      <c r="T89" s="29">
        <f ca="1" t="shared" si="4"/>
        <v>0.4567</v>
      </c>
      <c r="U89" s="29">
        <f ca="1" t="shared" si="4"/>
        <v>0.45699999999999996</v>
      </c>
      <c r="V89" s="29">
        <f ca="1" t="shared" si="4"/>
        <v>0.47019999999999995</v>
      </c>
    </row>
    <row r="90" spans="1:7" ht="15.75" hidden="1">
      <c r="A90" s="10" t="s">
        <v>39</v>
      </c>
      <c r="B90" s="10" t="s">
        <v>136</v>
      </c>
      <c r="C90" s="73"/>
      <c r="D90" s="73"/>
      <c r="F90" s="34"/>
      <c r="G90" s="10"/>
    </row>
    <row r="91" spans="1:22" ht="15.75" hidden="1">
      <c r="A91" s="10" t="s">
        <v>10</v>
      </c>
      <c r="B91" s="10" t="s">
        <v>137</v>
      </c>
      <c r="C91" s="73"/>
      <c r="D91" s="73"/>
      <c r="E91" s="2"/>
      <c r="F91" s="34"/>
      <c r="G91" s="10"/>
      <c r="L91" t="s">
        <v>99</v>
      </c>
      <c r="M91">
        <v>10999</v>
      </c>
      <c r="N91">
        <v>11428</v>
      </c>
      <c r="O91">
        <v>11101</v>
      </c>
      <c r="P91">
        <v>10997</v>
      </c>
      <c r="Q91">
        <v>10547</v>
      </c>
      <c r="R91">
        <v>10357</v>
      </c>
      <c r="S91">
        <v>9243</v>
      </c>
      <c r="T91">
        <v>10357</v>
      </c>
      <c r="U91">
        <v>10357</v>
      </c>
      <c r="V91">
        <v>10357</v>
      </c>
    </row>
    <row r="92" spans="1:22" ht="15.75" hidden="1">
      <c r="A92" s="10" t="s">
        <v>13</v>
      </c>
      <c r="B92" s="10" t="s">
        <v>139</v>
      </c>
      <c r="C92" s="73"/>
      <c r="D92" s="73"/>
      <c r="E92" s="2"/>
      <c r="F92" s="34"/>
      <c r="G92" s="10"/>
      <c r="K92" t="s">
        <v>104</v>
      </c>
      <c r="L92" t="s">
        <v>100</v>
      </c>
      <c r="M92" s="29">
        <f aca="true" t="shared" si="5" ref="M92:V92">2*M91/$M81</f>
        <v>0.4730752688172043</v>
      </c>
      <c r="N92" s="29">
        <f t="shared" si="5"/>
        <v>0.49152688172043013</v>
      </c>
      <c r="O92" s="29">
        <f t="shared" si="5"/>
        <v>0.4774623655913979</v>
      </c>
      <c r="P92" s="29">
        <f t="shared" si="5"/>
        <v>0.47298924731182795</v>
      </c>
      <c r="Q92" s="29">
        <f t="shared" si="5"/>
        <v>0.45363440860215054</v>
      </c>
      <c r="R92" s="29">
        <f t="shared" si="5"/>
        <v>0.44546236559139785</v>
      </c>
      <c r="S92" s="29">
        <f t="shared" si="5"/>
        <v>0.3975483870967742</v>
      </c>
      <c r="T92" s="29">
        <f t="shared" si="5"/>
        <v>0.44546236559139785</v>
      </c>
      <c r="U92" s="29">
        <f t="shared" si="5"/>
        <v>0.44546236559139785</v>
      </c>
      <c r="V92" s="29">
        <f t="shared" si="5"/>
        <v>0.44546236559139785</v>
      </c>
    </row>
    <row r="93" spans="1:22" ht="15.75" hidden="1">
      <c r="A93" s="9" t="s">
        <v>40</v>
      </c>
      <c r="B93" s="9" t="s">
        <v>145</v>
      </c>
      <c r="C93" s="74"/>
      <c r="D93" s="73"/>
      <c r="E93" s="2"/>
      <c r="F93" s="34"/>
      <c r="G93" s="10"/>
      <c r="K93" t="s">
        <v>105</v>
      </c>
      <c r="L93" t="s">
        <v>100</v>
      </c>
      <c r="M93" s="29">
        <f ca="1">VLOOKUP(2000000,Federal,3)+VLOOKUP(2000000,INDIRECT(M86),3)</f>
        <v>0.40159999999999996</v>
      </c>
      <c r="N93" s="29">
        <f aca="true" ca="1" t="shared" si="6" ref="N93:V93">VLOOKUP(2000000,Federal,3)+VLOOKUP(2000000,INDIRECT(N86),3)</f>
        <v>0.53</v>
      </c>
      <c r="O93" s="29">
        <f ca="1" t="shared" si="6"/>
        <v>0.4684</v>
      </c>
      <c r="P93" s="29">
        <f ca="1" t="shared" si="6"/>
        <v>0.46399999999999997</v>
      </c>
      <c r="Q93" s="29">
        <f ca="1" t="shared" si="6"/>
        <v>0.43999999999999995</v>
      </c>
      <c r="R93" s="29">
        <f ca="1" t="shared" si="6"/>
        <v>0.43699999999999994</v>
      </c>
      <c r="S93" s="29">
        <f ca="1" t="shared" si="6"/>
        <v>0.39</v>
      </c>
      <c r="T93" s="29">
        <f ca="1" t="shared" si="6"/>
        <v>0.4567</v>
      </c>
      <c r="U93" s="29">
        <f ca="1" t="shared" si="6"/>
        <v>0.45699999999999996</v>
      </c>
      <c r="V93" s="29">
        <f ca="1" t="shared" si="6"/>
        <v>0.47019999999999995</v>
      </c>
    </row>
    <row r="94" spans="1:22" ht="15.75" hidden="1">
      <c r="A94" s="9" t="s">
        <v>41</v>
      </c>
      <c r="B94" s="9" t="s">
        <v>146</v>
      </c>
      <c r="C94" s="74"/>
      <c r="D94" s="73"/>
      <c r="E94" s="2"/>
      <c r="F94" s="34"/>
      <c r="G94" s="10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5.75" hidden="1">
      <c r="A95" s="9" t="s">
        <v>9</v>
      </c>
      <c r="B95" s="9" t="s">
        <v>140</v>
      </c>
      <c r="C95" s="74"/>
      <c r="D95" s="73"/>
      <c r="E95" s="2"/>
      <c r="F95" s="34"/>
      <c r="G95" s="10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5.75" hidden="1">
      <c r="A96" s="10" t="s">
        <v>127</v>
      </c>
      <c r="B96" s="10" t="s">
        <v>138</v>
      </c>
      <c r="C96" s="74"/>
      <c r="D96" s="73"/>
      <c r="E96" s="2"/>
      <c r="F96" s="34"/>
      <c r="G96" s="10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5.75" hidden="1">
      <c r="A97" s="10"/>
      <c r="B97" s="10"/>
      <c r="C97" s="74"/>
      <c r="D97" s="73"/>
      <c r="E97" s="2"/>
      <c r="F97" s="34"/>
      <c r="G97" s="10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5.75" hidden="1">
      <c r="A98" s="9"/>
      <c r="B98" s="9"/>
      <c r="C98" s="74"/>
      <c r="D98" s="73"/>
      <c r="E98" s="2"/>
      <c r="F98" s="34"/>
      <c r="G98" s="10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15.75" hidden="1">
      <c r="A99" s="9"/>
      <c r="B99" s="9"/>
      <c r="C99" s="74"/>
      <c r="D99" s="73"/>
      <c r="E99" s="2"/>
      <c r="F99" s="34"/>
      <c r="G99" s="10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hidden="1">
      <c r="A100" s="9"/>
      <c r="B100" s="9"/>
      <c r="C100" s="74"/>
      <c r="D100" s="73"/>
      <c r="E100" s="2"/>
      <c r="F100" s="34"/>
      <c r="G100" s="10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ht="15.75" hidden="1">
      <c r="A101" s="9"/>
      <c r="B101" s="9"/>
      <c r="C101" s="74"/>
      <c r="D101" s="73"/>
      <c r="E101" s="2"/>
      <c r="F101" s="34"/>
      <c r="G101" s="10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15.75" hidden="1">
      <c r="A102" s="9"/>
      <c r="B102" s="9"/>
      <c r="C102" s="74"/>
      <c r="D102" s="73"/>
      <c r="E102" s="2"/>
      <c r="F102" s="34"/>
      <c r="G102" s="10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5:10" ht="15.75" hidden="1">
      <c r="E103" s="9"/>
      <c r="F103" s="73"/>
      <c r="I103" s="10"/>
      <c r="J103" s="10"/>
    </row>
    <row r="104" spans="5:22" ht="15.75" hidden="1">
      <c r="E104" s="9"/>
      <c r="F104" s="73"/>
      <c r="I104" s="10"/>
      <c r="J104" s="10"/>
      <c r="L104" t="s">
        <v>115</v>
      </c>
      <c r="M104">
        <v>6</v>
      </c>
      <c r="N104">
        <v>8</v>
      </c>
      <c r="O104">
        <v>3</v>
      </c>
      <c r="P104">
        <v>2</v>
      </c>
      <c r="Q104">
        <v>9</v>
      </c>
      <c r="R104">
        <v>1</v>
      </c>
      <c r="S104">
        <v>0</v>
      </c>
      <c r="T104">
        <v>5</v>
      </c>
      <c r="U104">
        <v>7</v>
      </c>
      <c r="V104">
        <v>4</v>
      </c>
    </row>
    <row r="105" spans="5:16" ht="15.75" hidden="1">
      <c r="E105" t="s">
        <v>57</v>
      </c>
      <c r="F105" s="34" t="s">
        <v>60</v>
      </c>
      <c r="G105" t="s">
        <v>58</v>
      </c>
      <c r="H105" s="9" t="s">
        <v>59</v>
      </c>
      <c r="I105" s="10" t="s">
        <v>68</v>
      </c>
      <c r="J105" t="s">
        <v>64</v>
      </c>
      <c r="K105" t="s">
        <v>65</v>
      </c>
      <c r="L105" s="10" t="s">
        <v>66</v>
      </c>
      <c r="M105" s="10" t="s">
        <v>67</v>
      </c>
      <c r="N105" t="s">
        <v>63</v>
      </c>
      <c r="O105" t="s">
        <v>62</v>
      </c>
      <c r="P105" t="s">
        <v>61</v>
      </c>
    </row>
    <row r="106" spans="5:10" ht="15.75" hidden="1">
      <c r="E106" t="s">
        <v>152</v>
      </c>
      <c r="F106" s="73"/>
      <c r="I106" s="10"/>
      <c r="J106" s="10"/>
    </row>
    <row r="107" spans="5:16" ht="15.75" hidden="1">
      <c r="E107">
        <v>1</v>
      </c>
      <c r="F107" s="34">
        <v>2</v>
      </c>
      <c r="G107">
        <v>3</v>
      </c>
      <c r="H107" s="9">
        <v>4</v>
      </c>
      <c r="I107" s="10">
        <v>5</v>
      </c>
      <c r="J107">
        <v>6</v>
      </c>
      <c r="K107">
        <v>7</v>
      </c>
      <c r="L107" s="10">
        <v>8</v>
      </c>
      <c r="M107" s="10">
        <v>9</v>
      </c>
      <c r="N107">
        <v>10</v>
      </c>
      <c r="O107">
        <v>11</v>
      </c>
      <c r="P107">
        <v>12</v>
      </c>
    </row>
    <row r="108" spans="3:16" ht="15.75" hidden="1">
      <c r="C108" s="75"/>
      <c r="D108" s="75" t="s">
        <v>69</v>
      </c>
      <c r="E108">
        <v>0.1</v>
      </c>
      <c r="F108" s="34">
        <v>0.1</v>
      </c>
      <c r="G108">
        <v>0.1</v>
      </c>
      <c r="H108" s="9">
        <v>0.09</v>
      </c>
      <c r="I108" s="10">
        <v>0.09</v>
      </c>
      <c r="J108">
        <v>0.08</v>
      </c>
      <c r="K108">
        <v>0.07</v>
      </c>
      <c r="L108" s="10">
        <v>0.06</v>
      </c>
      <c r="M108" s="10">
        <v>0.05</v>
      </c>
      <c r="N108">
        <v>0.04</v>
      </c>
      <c r="O108">
        <v>0.03</v>
      </c>
      <c r="P108">
        <v>0</v>
      </c>
    </row>
    <row r="109" spans="3:16" ht="15.75" hidden="1">
      <c r="C109" s="75"/>
      <c r="D109" s="75" t="s">
        <v>70</v>
      </c>
      <c r="E109">
        <v>0.05</v>
      </c>
      <c r="F109" s="34">
        <v>0.05</v>
      </c>
      <c r="G109">
        <v>0.05</v>
      </c>
      <c r="H109" s="9">
        <v>0.04</v>
      </c>
      <c r="I109" s="10">
        <v>0.04</v>
      </c>
      <c r="J109">
        <v>0.04</v>
      </c>
      <c r="K109">
        <v>0.03</v>
      </c>
      <c r="L109" s="10">
        <v>0.02</v>
      </c>
      <c r="M109" s="10">
        <v>0.01</v>
      </c>
      <c r="N109">
        <v>0</v>
      </c>
      <c r="O109">
        <v>0</v>
      </c>
      <c r="P109">
        <v>0</v>
      </c>
    </row>
    <row r="110" spans="1:6" ht="15.75" hidden="1">
      <c r="A110" s="12"/>
      <c r="B110" s="9"/>
      <c r="C110" s="74"/>
      <c r="D110" s="74"/>
      <c r="E110" s="2"/>
      <c r="F110" s="34"/>
    </row>
    <row r="111" spans="1:6" ht="15.75" hidden="1">
      <c r="A111" s="2" t="s">
        <v>45</v>
      </c>
      <c r="B111" s="2"/>
      <c r="C111" s="5"/>
      <c r="D111" s="5"/>
      <c r="E111" s="2"/>
      <c r="F111" s="34"/>
    </row>
    <row r="112" spans="1:8" ht="15.75" hidden="1">
      <c r="A112" s="2"/>
      <c r="B112" s="2" t="s">
        <v>119</v>
      </c>
      <c r="C112" s="65" t="s">
        <v>4</v>
      </c>
      <c r="D112" s="65" t="s">
        <v>5</v>
      </c>
      <c r="E112" s="3" t="s">
        <v>6</v>
      </c>
      <c r="F112" s="75" t="s">
        <v>44</v>
      </c>
      <c r="G112" t="s">
        <v>116</v>
      </c>
      <c r="H112" t="s">
        <v>117</v>
      </c>
    </row>
    <row r="113" spans="1:6" ht="15.75" hidden="1">
      <c r="A113" s="2"/>
      <c r="B113" s="2"/>
      <c r="C113" s="5" t="s">
        <v>2</v>
      </c>
      <c r="D113" s="5"/>
      <c r="E113" s="2"/>
      <c r="F113" s="34"/>
    </row>
    <row r="114" spans="1:8" ht="15.75" hidden="1">
      <c r="A114" s="2"/>
      <c r="B114" s="2"/>
      <c r="C114" s="5">
        <v>0</v>
      </c>
      <c r="D114" s="5">
        <v>0</v>
      </c>
      <c r="E114" s="2">
        <v>0.16</v>
      </c>
      <c r="F114" s="34">
        <v>0.16</v>
      </c>
      <c r="G114">
        <v>0</v>
      </c>
      <c r="H114">
        <v>0</v>
      </c>
    </row>
    <row r="115" spans="1:8" ht="15.75" hidden="1">
      <c r="A115" s="2"/>
      <c r="B115" s="2"/>
      <c r="C115" s="5">
        <v>200</v>
      </c>
      <c r="D115" s="5">
        <f>200*E114</f>
        <v>32</v>
      </c>
      <c r="E115" s="2">
        <v>0.16</v>
      </c>
      <c r="F115" s="34">
        <v>0.29</v>
      </c>
      <c r="G115">
        <v>0</v>
      </c>
      <c r="H115">
        <v>0</v>
      </c>
    </row>
    <row r="116" spans="1:6" ht="15.75" hidden="1">
      <c r="A116" s="2"/>
      <c r="B116" s="2"/>
      <c r="C116" s="5">
        <v>32183</v>
      </c>
      <c r="D116" s="5">
        <v>5149.28</v>
      </c>
      <c r="E116" s="2">
        <v>0.22</v>
      </c>
      <c r="F116" s="34"/>
    </row>
    <row r="117" spans="1:6" ht="15.75" hidden="1">
      <c r="A117" s="2"/>
      <c r="B117" s="2"/>
      <c r="C117" s="5">
        <v>64368</v>
      </c>
      <c r="D117" s="5">
        <v>12229.98</v>
      </c>
      <c r="E117" s="2">
        <v>0.26</v>
      </c>
      <c r="F117" s="34"/>
    </row>
    <row r="118" spans="1:6" ht="15.75" hidden="1">
      <c r="A118" s="2"/>
      <c r="B118" s="2"/>
      <c r="C118" s="5">
        <v>104648</v>
      </c>
      <c r="D118" s="5">
        <v>22702.78</v>
      </c>
      <c r="E118" s="2">
        <v>0.29</v>
      </c>
      <c r="F118" s="34"/>
    </row>
    <row r="119" spans="1:6" ht="15.75" hidden="1">
      <c r="A119" s="2"/>
      <c r="B119" s="2"/>
      <c r="C119" s="5"/>
      <c r="D119" s="5"/>
      <c r="E119" s="2"/>
      <c r="F119" s="34"/>
    </row>
    <row r="120" spans="1:6" ht="15.75" hidden="1">
      <c r="A120" s="2"/>
      <c r="B120" s="2"/>
      <c r="C120" s="5" t="s">
        <v>150</v>
      </c>
      <c r="D120" s="5"/>
      <c r="E120" s="2"/>
      <c r="F120" s="34"/>
    </row>
    <row r="121" spans="1:8" ht="15.75" hidden="1">
      <c r="A121" s="2"/>
      <c r="B121" s="2"/>
      <c r="C121" s="5">
        <v>0</v>
      </c>
      <c r="D121" s="5">
        <v>0</v>
      </c>
      <c r="E121" s="2">
        <v>0.16</v>
      </c>
      <c r="F121" s="34">
        <v>0.16</v>
      </c>
      <c r="G121">
        <v>0</v>
      </c>
      <c r="H121">
        <v>0</v>
      </c>
    </row>
    <row r="122" spans="1:8" ht="15.75" hidden="1">
      <c r="A122" s="2"/>
      <c r="B122" s="2"/>
      <c r="C122" s="5">
        <v>200</v>
      </c>
      <c r="D122" s="5">
        <f>200*E121</f>
        <v>32</v>
      </c>
      <c r="E122" s="2">
        <v>0.16</v>
      </c>
      <c r="F122" s="34">
        <v>0.29</v>
      </c>
      <c r="G122">
        <v>0</v>
      </c>
      <c r="H122">
        <v>0</v>
      </c>
    </row>
    <row r="123" spans="1:6" ht="15.75" hidden="1">
      <c r="A123" s="2"/>
      <c r="B123" s="2"/>
      <c r="C123" s="5">
        <v>31677</v>
      </c>
      <c r="D123" s="5">
        <v>5068</v>
      </c>
      <c r="E123" s="2">
        <v>0.22</v>
      </c>
      <c r="F123" s="34"/>
    </row>
    <row r="124" spans="1:6" ht="15.75" hidden="1">
      <c r="A124" s="2"/>
      <c r="B124" s="2"/>
      <c r="C124" s="5">
        <v>63354</v>
      </c>
      <c r="D124" s="5">
        <v>12037</v>
      </c>
      <c r="E124" s="2">
        <v>0.26</v>
      </c>
      <c r="F124" s="34"/>
    </row>
    <row r="125" spans="1:6" ht="15.75" hidden="1">
      <c r="A125" s="2"/>
      <c r="B125" s="2"/>
      <c r="C125" s="5">
        <v>103000</v>
      </c>
      <c r="D125" s="5">
        <v>22345</v>
      </c>
      <c r="E125" s="2">
        <v>0.29</v>
      </c>
      <c r="F125" s="34"/>
    </row>
    <row r="126" spans="1:6" ht="15.75" hidden="1">
      <c r="A126" s="2"/>
      <c r="B126" s="2"/>
      <c r="C126" s="5"/>
      <c r="D126" s="5"/>
      <c r="E126" s="2"/>
      <c r="F126" s="34"/>
    </row>
    <row r="127" spans="1:10" ht="15.75" hidden="1">
      <c r="A127" s="2"/>
      <c r="B127" s="2"/>
      <c r="C127" s="5"/>
      <c r="D127" s="5"/>
      <c r="E127" s="2"/>
      <c r="F127" s="34"/>
      <c r="H127" s="10"/>
      <c r="I127" s="10"/>
      <c r="J127" s="10"/>
    </row>
    <row r="128" spans="1:6" ht="15.75" hidden="1">
      <c r="A128" s="2"/>
      <c r="B128" s="2">
        <v>0</v>
      </c>
      <c r="C128" s="5" t="s">
        <v>7</v>
      </c>
      <c r="D128" s="5"/>
      <c r="E128" s="2" t="s">
        <v>102</v>
      </c>
      <c r="F128" s="34"/>
    </row>
    <row r="129" spans="1:8" ht="15.75" hidden="1">
      <c r="A129" s="2"/>
      <c r="B129" s="2"/>
      <c r="C129" s="5">
        <v>0</v>
      </c>
      <c r="D129" s="5">
        <v>0</v>
      </c>
      <c r="E129" s="2">
        <v>0.1</v>
      </c>
      <c r="F129" s="34">
        <v>0.1</v>
      </c>
      <c r="G129">
        <v>0</v>
      </c>
      <c r="H129">
        <v>0</v>
      </c>
    </row>
    <row r="130" spans="1:8" ht="15.75" hidden="1">
      <c r="A130" s="2"/>
      <c r="B130" s="2"/>
      <c r="C130" s="5">
        <v>200</v>
      </c>
      <c r="D130" s="5">
        <f>200*E129</f>
        <v>20</v>
      </c>
      <c r="E130" s="2">
        <v>0.1</v>
      </c>
      <c r="F130" s="34">
        <v>0.1275</v>
      </c>
      <c r="G130">
        <v>0</v>
      </c>
      <c r="H130">
        <v>0</v>
      </c>
    </row>
    <row r="131" spans="1:6" ht="15.75" hidden="1">
      <c r="A131" s="2"/>
      <c r="B131" s="2"/>
      <c r="C131" s="5"/>
      <c r="D131" s="5"/>
      <c r="E131" s="2"/>
      <c r="F131" s="34"/>
    </row>
    <row r="132" spans="1:6" ht="15.75" hidden="1">
      <c r="A132" s="2"/>
      <c r="B132" s="2"/>
      <c r="C132" s="5"/>
      <c r="D132" s="5"/>
      <c r="E132" s="2"/>
      <c r="F132" s="34"/>
    </row>
    <row r="133" spans="2:6" ht="15.75" hidden="1">
      <c r="B133">
        <v>1</v>
      </c>
      <c r="C133" s="5" t="s">
        <v>8</v>
      </c>
      <c r="D133" s="5"/>
      <c r="E133" s="2" t="s">
        <v>102</v>
      </c>
      <c r="F133" s="34"/>
    </row>
    <row r="134" spans="3:8" ht="15.75" hidden="1">
      <c r="C134" s="5">
        <v>0</v>
      </c>
      <c r="D134" s="5">
        <v>0</v>
      </c>
      <c r="E134" s="2">
        <v>0.0605</v>
      </c>
      <c r="F134" s="5">
        <v>0.0605</v>
      </c>
      <c r="G134">
        <v>0</v>
      </c>
      <c r="H134">
        <v>0</v>
      </c>
    </row>
    <row r="135" spans="3:8" ht="15.75" hidden="1">
      <c r="C135" s="5">
        <v>200</v>
      </c>
      <c r="D135" s="5">
        <f>C135*E134</f>
        <v>12.1</v>
      </c>
      <c r="E135" s="2">
        <v>0.0605</v>
      </c>
      <c r="F135" s="5">
        <v>0.147</v>
      </c>
      <c r="G135">
        <v>0</v>
      </c>
      <c r="H135">
        <v>0</v>
      </c>
    </row>
    <row r="136" spans="3:6" ht="15.75" hidden="1">
      <c r="C136" s="5">
        <v>31653</v>
      </c>
      <c r="D136" s="5">
        <f>C136*E134</f>
        <v>1915.0065</v>
      </c>
      <c r="E136" s="2">
        <v>0.0915</v>
      </c>
      <c r="F136" s="34"/>
    </row>
    <row r="137" spans="3:6" ht="15.75" hidden="1">
      <c r="C137" s="5">
        <f>31653+31655</f>
        <v>63308</v>
      </c>
      <c r="D137" s="5">
        <f>C137*E136</f>
        <v>5792.682</v>
      </c>
      <c r="E137" s="2">
        <v>0.117</v>
      </c>
      <c r="F137" s="34"/>
    </row>
    <row r="138" spans="3:6" ht="15.75" hidden="1">
      <c r="C138" s="5">
        <f>63308+9377</f>
        <v>72685</v>
      </c>
      <c r="D138" s="5">
        <f>C138*E137</f>
        <v>8504.145</v>
      </c>
      <c r="E138" s="2">
        <v>0.137</v>
      </c>
      <c r="F138" s="34"/>
    </row>
    <row r="139" spans="3:6" ht="15.75" hidden="1">
      <c r="C139" s="5">
        <f>72685+15575</f>
        <v>88260</v>
      </c>
      <c r="D139" s="5">
        <f>C139*E138</f>
        <v>12091.62</v>
      </c>
      <c r="E139" s="2">
        <v>0.147</v>
      </c>
      <c r="F139" s="34"/>
    </row>
    <row r="140" spans="3:6" ht="15.75" hidden="1">
      <c r="C140" s="5"/>
      <c r="D140" s="5"/>
      <c r="E140" s="2"/>
      <c r="F140" s="34"/>
    </row>
    <row r="141" spans="2:6" ht="15.75" hidden="1">
      <c r="B141">
        <v>2</v>
      </c>
      <c r="C141" s="5" t="s">
        <v>36</v>
      </c>
      <c r="D141" s="5"/>
      <c r="E141" s="2" t="s">
        <v>102</v>
      </c>
      <c r="F141" s="34"/>
    </row>
    <row r="142" spans="3:8" ht="15.75" hidden="1">
      <c r="C142" s="5">
        <v>0</v>
      </c>
      <c r="D142" s="5">
        <v>0</v>
      </c>
      <c r="E142" s="2">
        <v>0.109</v>
      </c>
      <c r="F142" s="5">
        <v>0.109</v>
      </c>
      <c r="G142">
        <v>0</v>
      </c>
      <c r="H142">
        <v>0</v>
      </c>
    </row>
    <row r="143" spans="3:8" ht="15.75" hidden="1">
      <c r="C143" s="5">
        <v>200</v>
      </c>
      <c r="D143" s="5">
        <f>C143*E142</f>
        <v>21.8</v>
      </c>
      <c r="E143" s="2">
        <v>0.109</v>
      </c>
      <c r="F143" s="5">
        <v>0.174</v>
      </c>
      <c r="G143">
        <v>0</v>
      </c>
      <c r="H143">
        <v>0</v>
      </c>
    </row>
    <row r="144" spans="3:6" ht="15.75" hidden="1">
      <c r="C144" s="5">
        <v>30544</v>
      </c>
      <c r="D144" s="5">
        <f>C144*E142</f>
        <v>3329.296</v>
      </c>
      <c r="E144" s="2">
        <v>0.149</v>
      </c>
      <c r="F144" s="34"/>
    </row>
    <row r="145" spans="3:6" ht="15.75" hidden="1">
      <c r="C145" s="5">
        <v>65000</v>
      </c>
      <c r="D145" s="5">
        <f>C145*E144</f>
        <v>9685</v>
      </c>
      <c r="E145" s="2">
        <v>0.174</v>
      </c>
      <c r="F145" s="34"/>
    </row>
    <row r="146" spans="3:6" ht="15.75" hidden="1">
      <c r="C146" s="5"/>
      <c r="D146" s="5"/>
      <c r="E146" s="2"/>
      <c r="F146" s="34"/>
    </row>
    <row r="147" spans="3:6" ht="15.75" hidden="1">
      <c r="C147" s="5"/>
      <c r="D147" s="5"/>
      <c r="E147" s="2"/>
      <c r="F147" s="34"/>
    </row>
    <row r="148" spans="2:6" ht="15.75" hidden="1">
      <c r="B148">
        <v>3</v>
      </c>
      <c r="C148" s="5" t="s">
        <v>11</v>
      </c>
      <c r="D148" s="5"/>
      <c r="E148" s="2" t="s">
        <v>102</v>
      </c>
      <c r="F148" s="34"/>
    </row>
    <row r="149" spans="3:8" ht="15.75" hidden="1">
      <c r="C149" s="5">
        <v>0</v>
      </c>
      <c r="D149" s="5">
        <v>0</v>
      </c>
      <c r="E149" s="2">
        <v>0.0968</v>
      </c>
      <c r="F149" s="5">
        <v>0.0968</v>
      </c>
      <c r="G149">
        <v>0</v>
      </c>
      <c r="H149">
        <v>0</v>
      </c>
    </row>
    <row r="150" spans="3:8" ht="15.75" hidden="1">
      <c r="C150" s="5">
        <v>200</v>
      </c>
      <c r="D150" s="5">
        <f>C150*E149</f>
        <v>19.36</v>
      </c>
      <c r="E150" s="2">
        <v>0.0968</v>
      </c>
      <c r="F150" s="5">
        <v>0.1784</v>
      </c>
      <c r="G150">
        <v>0</v>
      </c>
      <c r="H150">
        <v>0</v>
      </c>
    </row>
    <row r="151" spans="3:6" ht="15.75" hidden="1">
      <c r="C151" s="5">
        <v>32183</v>
      </c>
      <c r="D151" s="5">
        <f>C151*E149</f>
        <v>3115.3143999999998</v>
      </c>
      <c r="E151" s="2">
        <v>0.1482</v>
      </c>
      <c r="F151" s="34"/>
    </row>
    <row r="152" spans="3:6" ht="15.75" hidden="1">
      <c r="C152" s="5">
        <f>32183+32185</f>
        <v>64368</v>
      </c>
      <c r="D152" s="5">
        <f>C152*E151</f>
        <v>9539.3376</v>
      </c>
      <c r="E152" s="2">
        <v>0.1652</v>
      </c>
      <c r="F152" s="34"/>
    </row>
    <row r="153" spans="3:6" ht="15.75" hidden="1">
      <c r="C153" s="5">
        <v>104648</v>
      </c>
      <c r="D153" s="5">
        <f>C153*E152</f>
        <v>17287.8496</v>
      </c>
      <c r="E153" s="2">
        <v>0.1784</v>
      </c>
      <c r="F153" s="34"/>
    </row>
    <row r="154" spans="3:6" ht="15.75" hidden="1">
      <c r="C154" s="5"/>
      <c r="D154" s="5"/>
      <c r="E154" s="2"/>
      <c r="F154" s="34"/>
    </row>
    <row r="155" spans="3:6" ht="15.75" hidden="1">
      <c r="C155" s="5"/>
      <c r="D155" s="5"/>
      <c r="E155" s="2"/>
      <c r="F155" s="34"/>
    </row>
    <row r="156" spans="2:7" ht="15.75" hidden="1">
      <c r="B156">
        <v>4</v>
      </c>
      <c r="C156" s="5" t="s">
        <v>37</v>
      </c>
      <c r="D156" s="5"/>
      <c r="F156" s="34"/>
      <c r="G156" s="2" t="s">
        <v>108</v>
      </c>
    </row>
    <row r="157" spans="3:8" ht="15.75" hidden="1">
      <c r="C157" s="5">
        <v>0</v>
      </c>
      <c r="D157" s="5">
        <v>0</v>
      </c>
      <c r="E157" s="2">
        <v>0.1057</v>
      </c>
      <c r="F157" s="5">
        <v>0.1057</v>
      </c>
      <c r="G157">
        <v>7032</v>
      </c>
      <c r="H157">
        <v>0.09</v>
      </c>
    </row>
    <row r="158" spans="3:8" ht="15.75" hidden="1">
      <c r="C158" s="5">
        <v>200</v>
      </c>
      <c r="D158" s="5">
        <f>D157+(C158-C157)*E157</f>
        <v>21.14</v>
      </c>
      <c r="E158" s="2">
        <v>0.1057</v>
      </c>
      <c r="F158" s="5">
        <v>0.1802</v>
      </c>
      <c r="G158">
        <v>0</v>
      </c>
      <c r="H158">
        <v>0</v>
      </c>
    </row>
    <row r="159" spans="3:6" ht="15.75" hidden="1">
      <c r="C159" s="5">
        <v>29590</v>
      </c>
      <c r="D159" s="5">
        <f>D158+(C159-C158)*E158</f>
        <v>3127.663</v>
      </c>
      <c r="E159" s="2">
        <v>0.1616</v>
      </c>
      <c r="F159" s="34"/>
    </row>
    <row r="160" spans="3:6" ht="15.75" hidden="1">
      <c r="C160" s="5">
        <v>59180</v>
      </c>
      <c r="D160" s="5">
        <f>D159+(C160-C159)*E159</f>
        <v>7909.406999999999</v>
      </c>
      <c r="E160" s="2">
        <v>0.1802</v>
      </c>
      <c r="F160" s="34"/>
    </row>
    <row r="161" spans="3:6" ht="15.75" hidden="1">
      <c r="C161" s="5"/>
      <c r="D161" s="5"/>
      <c r="E161" s="2"/>
      <c r="F161" s="34"/>
    </row>
    <row r="162" spans="3:6" ht="15.75" hidden="1">
      <c r="C162" s="5"/>
      <c r="D162" s="5"/>
      <c r="E162" s="2"/>
      <c r="F162" s="34"/>
    </row>
    <row r="163" spans="2:7" ht="15.75" hidden="1">
      <c r="B163">
        <v>5</v>
      </c>
      <c r="C163" s="5" t="s">
        <v>12</v>
      </c>
      <c r="D163" s="5"/>
      <c r="E163" s="2"/>
      <c r="F163" s="34"/>
      <c r="G163" s="2" t="s">
        <v>108</v>
      </c>
    </row>
    <row r="164" spans="3:8" ht="15.75" hidden="1">
      <c r="C164" s="5">
        <v>0</v>
      </c>
      <c r="D164" s="5">
        <v>0</v>
      </c>
      <c r="E164" s="2">
        <v>0.0977</v>
      </c>
      <c r="F164" s="5">
        <v>0.0977</v>
      </c>
      <c r="G164">
        <v>10000</v>
      </c>
      <c r="H164">
        <v>0.1</v>
      </c>
    </row>
    <row r="165" spans="3:8" ht="15.75" hidden="1">
      <c r="C165" s="5">
        <v>200</v>
      </c>
      <c r="D165" s="5">
        <f>D164+(C165-C164)*E164</f>
        <v>19.54</v>
      </c>
      <c r="E165" s="2">
        <v>0.0977</v>
      </c>
      <c r="F165" s="5">
        <v>0.1667</v>
      </c>
      <c r="G165">
        <v>0</v>
      </c>
      <c r="H165">
        <v>0</v>
      </c>
    </row>
    <row r="166" spans="3:6" ht="15.75" hidden="1">
      <c r="C166" s="5">
        <v>29590</v>
      </c>
      <c r="D166" s="5">
        <f>D165+(C166-C165)*E165</f>
        <v>2890.9429999999998</v>
      </c>
      <c r="E166" s="2">
        <v>0.1495</v>
      </c>
      <c r="F166" s="34"/>
    </row>
    <row r="167" spans="3:6" ht="15.75" hidden="1">
      <c r="C167" s="5">
        <v>59180</v>
      </c>
      <c r="D167" s="5">
        <f>D166+(C167-C166)*E166</f>
        <v>7314.647999999999</v>
      </c>
      <c r="E167" s="2">
        <v>0.1667</v>
      </c>
      <c r="F167" s="34"/>
    </row>
    <row r="168" spans="3:6" ht="15.75" hidden="1">
      <c r="C168" s="5"/>
      <c r="D168" s="5"/>
      <c r="E168" s="2"/>
      <c r="F168" s="34"/>
    </row>
    <row r="169" spans="3:6" ht="15.75" hidden="1">
      <c r="C169" s="5"/>
      <c r="D169" s="5"/>
      <c r="E169" s="2"/>
      <c r="F169" s="34"/>
    </row>
    <row r="170" spans="3:6" ht="15.75" hidden="1">
      <c r="C170" s="5" t="s">
        <v>38</v>
      </c>
      <c r="D170" s="5"/>
      <c r="E170" s="2" t="s">
        <v>102</v>
      </c>
      <c r="F170" s="34"/>
    </row>
    <row r="171" spans="3:8" ht="15.75" hidden="1">
      <c r="C171" s="5">
        <v>0</v>
      </c>
      <c r="D171" s="5">
        <v>0</v>
      </c>
      <c r="E171" s="2">
        <v>0.072</v>
      </c>
      <c r="F171" s="5">
        <v>0.072</v>
      </c>
      <c r="G171">
        <v>0</v>
      </c>
      <c r="H171">
        <v>0</v>
      </c>
    </row>
    <row r="172" spans="3:8" ht="15.75" hidden="1">
      <c r="C172" s="5">
        <v>200</v>
      </c>
      <c r="D172" s="5">
        <f>D171+(C172-C171)*E171</f>
        <v>14.399999999999999</v>
      </c>
      <c r="E172" s="2">
        <v>0.072</v>
      </c>
      <c r="F172" s="5">
        <v>0.1305</v>
      </c>
      <c r="G172">
        <v>0</v>
      </c>
      <c r="H172">
        <v>0</v>
      </c>
    </row>
    <row r="173" spans="3:6" ht="15.75" hidden="1">
      <c r="C173" s="5">
        <v>32183</v>
      </c>
      <c r="D173" s="5">
        <f>D172+(C173-C172)*E172</f>
        <v>2317.176</v>
      </c>
      <c r="E173" s="2">
        <v>0.099</v>
      </c>
      <c r="F173" s="34"/>
    </row>
    <row r="174" spans="3:6" ht="15.75" hidden="1">
      <c r="C174" s="5">
        <f>32183+32185</f>
        <v>64368</v>
      </c>
      <c r="D174" s="5">
        <f>D173+(C174-C173)*E173</f>
        <v>5503.491</v>
      </c>
      <c r="E174" s="2">
        <v>0.117</v>
      </c>
      <c r="F174" s="34"/>
    </row>
    <row r="175" spans="3:6" ht="15.75" hidden="1">
      <c r="C175" s="5">
        <v>104648</v>
      </c>
      <c r="D175" s="5">
        <f>D174+(C175-C174)*E174</f>
        <v>10216.251</v>
      </c>
      <c r="E175" s="2">
        <v>0.1305</v>
      </c>
      <c r="F175" s="34"/>
    </row>
    <row r="176" spans="3:6" ht="15.75" hidden="1">
      <c r="C176" s="5"/>
      <c r="D176" s="5"/>
      <c r="E176" s="2"/>
      <c r="F176" s="34"/>
    </row>
    <row r="177" spans="3:6" ht="15.75" hidden="1">
      <c r="C177" s="5"/>
      <c r="D177" s="5"/>
      <c r="E177" s="2"/>
      <c r="F177" s="34"/>
    </row>
    <row r="178" spans="3:6" ht="15.75" hidden="1">
      <c r="C178" s="5" t="s">
        <v>39</v>
      </c>
      <c r="D178" s="5"/>
      <c r="E178" s="2" t="s">
        <v>102</v>
      </c>
      <c r="F178" s="34"/>
    </row>
    <row r="179" spans="3:8" ht="15.75" hidden="1">
      <c r="C179" s="5">
        <v>0</v>
      </c>
      <c r="D179" s="5">
        <v>0</v>
      </c>
      <c r="E179" s="2">
        <v>0.04</v>
      </c>
      <c r="F179" s="5">
        <v>0.04</v>
      </c>
      <c r="G179">
        <v>0</v>
      </c>
      <c r="H179">
        <v>0</v>
      </c>
    </row>
    <row r="180" spans="3:8" ht="15.75" hidden="1">
      <c r="C180" s="5">
        <v>200</v>
      </c>
      <c r="D180" s="5">
        <f>D179+(C180-C179)*E179</f>
        <v>8</v>
      </c>
      <c r="E180" s="2">
        <v>0.04</v>
      </c>
      <c r="F180" s="5">
        <v>0.115</v>
      </c>
      <c r="G180">
        <v>0</v>
      </c>
      <c r="H180">
        <v>0</v>
      </c>
    </row>
    <row r="181" spans="3:6" ht="15.75" hidden="1">
      <c r="C181" s="5">
        <v>32183</v>
      </c>
      <c r="D181" s="5">
        <f>D180+(C181-C180)*E180</f>
        <v>1287.32</v>
      </c>
      <c r="E181" s="2">
        <v>0.07</v>
      </c>
      <c r="F181" s="34"/>
    </row>
    <row r="182" spans="3:6" ht="15.75" hidden="1">
      <c r="C182" s="5">
        <v>64368</v>
      </c>
      <c r="D182" s="5">
        <f>D181+(C182-C181)*E181</f>
        <v>3540.2700000000004</v>
      </c>
      <c r="E182" s="2">
        <v>0.09</v>
      </c>
      <c r="F182" s="34"/>
    </row>
    <row r="183" spans="3:6" ht="15.75" hidden="1">
      <c r="C183" s="5">
        <v>104648</v>
      </c>
      <c r="D183" s="5">
        <f>D182+(C183-C182)*E182</f>
        <v>7165.47</v>
      </c>
      <c r="E183" s="2">
        <v>0.115</v>
      </c>
      <c r="F183" s="34"/>
    </row>
    <row r="184" spans="3:6" ht="15.75" hidden="1">
      <c r="C184" s="5"/>
      <c r="D184" s="5"/>
      <c r="E184" s="2"/>
      <c r="F184" s="34"/>
    </row>
    <row r="185" spans="1:6" ht="15.75" hidden="1">
      <c r="A185" s="2"/>
      <c r="B185" s="2"/>
      <c r="C185" s="5"/>
      <c r="D185" s="5"/>
      <c r="E185" s="2"/>
      <c r="F185" s="34"/>
    </row>
    <row r="186" spans="1:10" ht="15.75" hidden="1">
      <c r="A186" s="2"/>
      <c r="B186" s="2"/>
      <c r="C186" s="5" t="s">
        <v>10</v>
      </c>
      <c r="D186" s="34">
        <v>2003</v>
      </c>
      <c r="F186" s="34"/>
      <c r="G186" s="2" t="s">
        <v>108</v>
      </c>
      <c r="H186" s="10"/>
      <c r="I186" s="10"/>
      <c r="J186" s="10"/>
    </row>
    <row r="187" spans="1:10" ht="15.75" hidden="1">
      <c r="A187" s="2"/>
      <c r="B187" s="2"/>
      <c r="C187" s="5">
        <v>0</v>
      </c>
      <c r="D187" s="5">
        <v>0</v>
      </c>
      <c r="E187" s="2">
        <v>0.0605</v>
      </c>
      <c r="F187" s="5">
        <v>0.0605</v>
      </c>
      <c r="G187">
        <v>3747</v>
      </c>
      <c r="H187" s="10">
        <v>0.2</v>
      </c>
      <c r="I187" s="10"/>
      <c r="J187" s="10"/>
    </row>
    <row r="188" spans="1:10" ht="15.75" hidden="1">
      <c r="A188" s="2"/>
      <c r="B188" s="2"/>
      <c r="C188" s="5">
        <v>200</v>
      </c>
      <c r="D188" s="5">
        <f>D187+(C188-C187)*E187</f>
        <v>12.1</v>
      </c>
      <c r="E188" s="2">
        <v>0.0605</v>
      </c>
      <c r="F188" s="5">
        <v>0.1116</v>
      </c>
      <c r="G188">
        <v>4727</v>
      </c>
      <c r="H188" s="10">
        <v>0.36</v>
      </c>
      <c r="I188" s="10"/>
      <c r="J188" s="10"/>
    </row>
    <row r="189" spans="1:10" ht="15.75" hidden="1">
      <c r="A189" s="2"/>
      <c r="B189" s="2"/>
      <c r="C189" s="5">
        <v>32435</v>
      </c>
      <c r="D189" s="5">
        <f>D188+(C189-C188)*E188</f>
        <v>1962.3174999999999</v>
      </c>
      <c r="E189" s="2">
        <v>0.0915</v>
      </c>
      <c r="F189" s="34"/>
      <c r="H189" s="10"/>
      <c r="I189" s="10"/>
      <c r="J189" s="10"/>
    </row>
    <row r="190" spans="1:10" ht="15.75" hidden="1">
      <c r="A190" s="2"/>
      <c r="B190" s="2"/>
      <c r="C190" s="5">
        <v>64871</v>
      </c>
      <c r="D190" s="5">
        <f>D189+(C190-C189)*E189</f>
        <v>4930.211499999999</v>
      </c>
      <c r="E190" s="2">
        <f>0.1116</f>
        <v>0.1116</v>
      </c>
      <c r="F190" s="34"/>
      <c r="H190" s="10"/>
      <c r="I190" s="10"/>
      <c r="J190" s="10"/>
    </row>
    <row r="191" spans="1:10" ht="15.75" hidden="1">
      <c r="A191" s="2"/>
      <c r="B191" s="2"/>
      <c r="C191" s="5"/>
      <c r="D191" s="5"/>
      <c r="E191" s="2"/>
      <c r="F191" s="34"/>
      <c r="H191" s="10"/>
      <c r="I191" s="10"/>
      <c r="J191" s="10"/>
    </row>
    <row r="192" spans="1:8" ht="15.75" hidden="1">
      <c r="A192" s="2"/>
      <c r="B192" s="2">
        <v>6</v>
      </c>
      <c r="C192" s="5" t="s">
        <v>127</v>
      </c>
      <c r="D192" s="34" t="s">
        <v>120</v>
      </c>
      <c r="F192" s="34"/>
      <c r="G192" s="2" t="s">
        <v>108</v>
      </c>
      <c r="H192" s="10"/>
    </row>
    <row r="193" spans="1:8" ht="15.75" hidden="1">
      <c r="A193" s="2"/>
      <c r="B193" s="2"/>
      <c r="C193" s="5">
        <v>0</v>
      </c>
      <c r="D193" s="5">
        <v>0</v>
      </c>
      <c r="E193" s="2">
        <v>0.0605</v>
      </c>
      <c r="F193" s="5">
        <v>0.0605</v>
      </c>
      <c r="G193">
        <v>3685</v>
      </c>
      <c r="H193" s="10">
        <v>0.2</v>
      </c>
    </row>
    <row r="194" spans="1:8" ht="15.75" hidden="1">
      <c r="A194" s="2"/>
      <c r="B194" s="2"/>
      <c r="C194" s="5">
        <v>200</v>
      </c>
      <c r="D194" s="5">
        <f>D193+(C194-C193)*E193</f>
        <v>12.1</v>
      </c>
      <c r="E194" s="2">
        <v>0.0605</v>
      </c>
      <c r="F194" s="5">
        <v>0.1116</v>
      </c>
      <c r="G194">
        <v>4648</v>
      </c>
      <c r="H194" s="10">
        <v>0.36</v>
      </c>
    </row>
    <row r="195" spans="1:8" ht="15.75" hidden="1">
      <c r="A195" s="2"/>
      <c r="B195" s="2"/>
      <c r="C195" s="5">
        <v>31893</v>
      </c>
      <c r="D195" s="5">
        <f>D194+(C195-C194)*E194</f>
        <v>1929.5265</v>
      </c>
      <c r="E195" s="2">
        <v>0.0915</v>
      </c>
      <c r="F195" s="34"/>
      <c r="H195" s="10"/>
    </row>
    <row r="196" spans="1:8" ht="15.75" hidden="1">
      <c r="A196" s="2"/>
      <c r="B196" s="2"/>
      <c r="C196" s="5">
        <v>63786</v>
      </c>
      <c r="D196" s="5">
        <f>D195+(C196-C195)*E195</f>
        <v>4847.736</v>
      </c>
      <c r="E196" s="2">
        <f>0.1116</f>
        <v>0.1116</v>
      </c>
      <c r="F196" s="34"/>
      <c r="H196" s="10"/>
    </row>
    <row r="197" spans="1:6" ht="15.75" hidden="1">
      <c r="A197" s="2"/>
      <c r="B197" s="2"/>
      <c r="C197" s="5"/>
      <c r="D197" s="5"/>
      <c r="E197" s="2"/>
      <c r="F197" s="34"/>
    </row>
    <row r="198" spans="1:6" ht="15.75" hidden="1">
      <c r="A198" s="2"/>
      <c r="B198" s="2"/>
      <c r="C198" s="5"/>
      <c r="D198" s="5"/>
      <c r="E198" s="2"/>
      <c r="F198" s="34"/>
    </row>
    <row r="199" spans="2:7" ht="15.75" hidden="1">
      <c r="B199">
        <v>7</v>
      </c>
      <c r="C199" s="5" t="s">
        <v>13</v>
      </c>
      <c r="D199" s="5"/>
      <c r="E199" s="2"/>
      <c r="F199" s="34"/>
      <c r="G199" s="2" t="s">
        <v>108</v>
      </c>
    </row>
    <row r="200" spans="3:8" ht="15.75" hidden="1">
      <c r="C200" s="5">
        <v>0</v>
      </c>
      <c r="D200" s="5">
        <v>0</v>
      </c>
      <c r="E200" s="2">
        <v>0.098</v>
      </c>
      <c r="F200" s="5">
        <v>0.098</v>
      </c>
      <c r="G200">
        <v>5200</v>
      </c>
      <c r="H200">
        <v>0.1</v>
      </c>
    </row>
    <row r="201" spans="3:8" ht="15.75" hidden="1">
      <c r="C201" s="5">
        <v>200</v>
      </c>
      <c r="D201" s="5">
        <f>D200+(C201-C200)*E200</f>
        <v>19.6</v>
      </c>
      <c r="E201" s="2">
        <v>0.098</v>
      </c>
      <c r="F201" s="5">
        <v>0.167</v>
      </c>
      <c r="G201">
        <v>0</v>
      </c>
      <c r="H201">
        <v>0</v>
      </c>
    </row>
    <row r="202" spans="3:6" ht="15.75" hidden="1">
      <c r="C202" s="74">
        <v>30754</v>
      </c>
      <c r="D202" s="5">
        <f>D201+(C202-C201)*E201</f>
        <v>3013.892</v>
      </c>
      <c r="E202" s="2">
        <v>0.138</v>
      </c>
      <c r="F202" s="34"/>
    </row>
    <row r="203" spans="3:6" ht="15.75" hidden="1">
      <c r="C203" s="74">
        <v>61509</v>
      </c>
      <c r="D203" s="5">
        <f>D202+(C203-C202)*E202</f>
        <v>7258.082</v>
      </c>
      <c r="E203" s="2">
        <v>0.167</v>
      </c>
      <c r="F203" s="34"/>
    </row>
    <row r="204" spans="3:6" ht="15.75" hidden="1">
      <c r="C204" s="5"/>
      <c r="D204" s="5"/>
      <c r="E204" s="2"/>
      <c r="F204" s="34"/>
    </row>
    <row r="205" spans="3:6" ht="15.75" hidden="1">
      <c r="C205" s="5"/>
      <c r="D205" s="5"/>
      <c r="E205" s="2"/>
      <c r="F205" s="34"/>
    </row>
    <row r="206" spans="2:6" ht="15.75" hidden="1">
      <c r="B206">
        <v>8</v>
      </c>
      <c r="C206" s="5" t="s">
        <v>9</v>
      </c>
      <c r="D206" s="5"/>
      <c r="E206" s="2" t="s">
        <v>102</v>
      </c>
      <c r="F206" s="34"/>
    </row>
    <row r="207" spans="3:8" ht="15.75" hidden="1">
      <c r="C207" s="5">
        <v>0</v>
      </c>
      <c r="D207" s="5">
        <v>0</v>
      </c>
      <c r="E207" s="5">
        <v>0.16</v>
      </c>
      <c r="F207" s="5">
        <v>0.2</v>
      </c>
      <c r="G207">
        <v>0</v>
      </c>
      <c r="H207">
        <v>0</v>
      </c>
    </row>
    <row r="208" spans="3:8" ht="15.75" hidden="1">
      <c r="C208" s="5">
        <v>2000</v>
      </c>
      <c r="D208" s="5">
        <f>D207+(C208-C207)*E207</f>
        <v>320</v>
      </c>
      <c r="E208" s="5">
        <v>0.16</v>
      </c>
      <c r="F208" s="34">
        <f>0.2*1.2</f>
        <v>0.24</v>
      </c>
      <c r="G208">
        <v>0</v>
      </c>
      <c r="H208">
        <v>0</v>
      </c>
    </row>
    <row r="209" spans="3:6" ht="15.75" hidden="1">
      <c r="C209" s="5">
        <v>27095</v>
      </c>
      <c r="D209" s="5">
        <f>D208+(C209-C208)*E208</f>
        <v>4335.200000000001</v>
      </c>
      <c r="E209" s="5">
        <v>0.2</v>
      </c>
      <c r="F209" s="34"/>
    </row>
    <row r="210" spans="3:6" ht="15.75" hidden="1">
      <c r="C210" s="5">
        <v>54195</v>
      </c>
      <c r="D210" s="5">
        <f>D209+(C210-C209)*E209</f>
        <v>9755.2</v>
      </c>
      <c r="E210" s="5">
        <v>0.24</v>
      </c>
      <c r="F210" s="34"/>
    </row>
    <row r="211" spans="3:6" ht="15.75" hidden="1">
      <c r="C211" s="5"/>
      <c r="D211" s="5"/>
      <c r="E211" s="5"/>
      <c r="F211" s="34"/>
    </row>
    <row r="212" spans="3:6" ht="15.75" hidden="1">
      <c r="C212" s="5"/>
      <c r="D212" s="5"/>
      <c r="E212" s="2"/>
      <c r="F212" s="34"/>
    </row>
    <row r="213" spans="2:6" ht="15.75" hidden="1">
      <c r="B213">
        <v>9</v>
      </c>
      <c r="C213" s="5" t="s">
        <v>40</v>
      </c>
      <c r="D213" s="5"/>
      <c r="E213" s="2" t="s">
        <v>103</v>
      </c>
      <c r="F213" s="34"/>
    </row>
    <row r="214" spans="3:8" ht="15.75" hidden="1">
      <c r="C214" s="5">
        <v>0</v>
      </c>
      <c r="D214" s="5">
        <v>0</v>
      </c>
      <c r="E214" s="2">
        <v>0.11</v>
      </c>
      <c r="F214" s="5">
        <v>0.11</v>
      </c>
      <c r="G214">
        <v>0</v>
      </c>
      <c r="H214">
        <v>0</v>
      </c>
    </row>
    <row r="215" spans="3:8" ht="15.75" hidden="1">
      <c r="C215" s="5">
        <v>200</v>
      </c>
      <c r="D215" s="5">
        <f>D214+(C215-C214)*E214</f>
        <v>22</v>
      </c>
      <c r="E215" s="2">
        <v>0.11</v>
      </c>
      <c r="F215" s="5">
        <v>0.15</v>
      </c>
      <c r="G215">
        <v>0</v>
      </c>
      <c r="H215">
        <v>0</v>
      </c>
    </row>
    <row r="216" spans="3:6" ht="15.75" hidden="1">
      <c r="C216" s="5">
        <v>35000</v>
      </c>
      <c r="D216" s="5">
        <f>D215+(C216-C215)*E215</f>
        <v>3850</v>
      </c>
      <c r="E216" s="2">
        <v>0.13</v>
      </c>
      <c r="F216" s="34"/>
    </row>
    <row r="217" spans="3:6" ht="15.75" hidden="1">
      <c r="C217" s="5">
        <v>65000</v>
      </c>
      <c r="D217" s="5">
        <f>D216+(C217-C216)*E216</f>
        <v>7750</v>
      </c>
      <c r="E217" s="2">
        <v>0.15</v>
      </c>
      <c r="F217" s="34"/>
    </row>
    <row r="218" spans="3:6" ht="15.75" hidden="1">
      <c r="C218" s="115" t="s">
        <v>180</v>
      </c>
      <c r="D218" s="5"/>
      <c r="E218" s="2"/>
      <c r="F218" s="34"/>
    </row>
    <row r="219" spans="3:6" ht="15.75" hidden="1">
      <c r="C219" s="5"/>
      <c r="D219" s="5"/>
      <c r="E219" s="2"/>
      <c r="F219" s="34"/>
    </row>
    <row r="220" spans="3:7" ht="15.75" hidden="1">
      <c r="C220" s="5" t="s">
        <v>41</v>
      </c>
      <c r="D220" s="5"/>
      <c r="E220" s="2"/>
      <c r="F220" s="34"/>
      <c r="G220" s="2" t="s">
        <v>108</v>
      </c>
    </row>
    <row r="221" spans="3:8" ht="15.75" hidden="1">
      <c r="C221" s="5">
        <v>0</v>
      </c>
      <c r="D221" s="5">
        <v>0</v>
      </c>
      <c r="E221" s="2">
        <v>0.0704</v>
      </c>
      <c r="F221" s="5">
        <v>0.0704</v>
      </c>
      <c r="G221">
        <v>6000</v>
      </c>
      <c r="H221">
        <v>0.05</v>
      </c>
    </row>
    <row r="222" spans="3:8" ht="15.75" hidden="1">
      <c r="C222" s="5">
        <v>200</v>
      </c>
      <c r="D222" s="5">
        <f>D221+(C222-C221)*E221</f>
        <v>14.08</v>
      </c>
      <c r="E222" s="2">
        <v>0.0704</v>
      </c>
      <c r="F222" s="5">
        <v>0.1276</v>
      </c>
      <c r="G222">
        <v>0</v>
      </c>
      <c r="H222">
        <v>0</v>
      </c>
    </row>
    <row r="223" spans="3:6" ht="15.75" hidden="1">
      <c r="C223" s="5">
        <v>32183</v>
      </c>
      <c r="D223" s="5">
        <f>D222+(C223-C222)*E222</f>
        <v>2265.6832</v>
      </c>
      <c r="E223" s="2">
        <v>0.0968</v>
      </c>
      <c r="F223" s="34"/>
    </row>
    <row r="224" spans="3:6" ht="15.75" hidden="1">
      <c r="C224" s="5">
        <v>64368</v>
      </c>
      <c r="D224" s="5">
        <f>D223+(C224-C223)*E223</f>
        <v>5381.191199999999</v>
      </c>
      <c r="E224" s="2">
        <v>0.1144</v>
      </c>
      <c r="F224" s="34"/>
    </row>
    <row r="225" spans="3:6" ht="15.75" hidden="1">
      <c r="C225" s="76">
        <v>104648</v>
      </c>
      <c r="D225" s="5">
        <f>D224+(C225-C224)*E224</f>
        <v>9989.2232</v>
      </c>
      <c r="E225" s="2">
        <f>0.1276</f>
        <v>0.1276</v>
      </c>
      <c r="F225" s="34"/>
    </row>
    <row r="226" spans="3:6" ht="15.75" hidden="1">
      <c r="C226" s="5"/>
      <c r="D226" s="5"/>
      <c r="E226" s="2"/>
      <c r="F226" s="34"/>
    </row>
    <row r="227" spans="3:6" ht="15.75" hidden="1">
      <c r="C227" s="5"/>
      <c r="D227" s="5"/>
      <c r="E227" s="2"/>
      <c r="F227" s="34" t="s">
        <v>149</v>
      </c>
    </row>
    <row r="228" spans="3:10" ht="15.75" hidden="1">
      <c r="C228" s="5"/>
      <c r="D228" s="65" t="s">
        <v>121</v>
      </c>
      <c r="E228" s="42">
        <f>$E$12</f>
        <v>60000</v>
      </c>
      <c r="F228" s="80">
        <f>$E$12</f>
        <v>60000</v>
      </c>
      <c r="H228" s="44">
        <f>$E$12+0.5*(H20-$E$48)</f>
        <v>83250</v>
      </c>
      <c r="J228" s="44">
        <f>$E$12+0.5*(J20-$E$48)</f>
        <v>62325</v>
      </c>
    </row>
    <row r="229" spans="3:10" ht="15.75" hidden="1">
      <c r="C229" s="5"/>
      <c r="D229" s="65" t="s">
        <v>124</v>
      </c>
      <c r="E229" s="42">
        <f>VLOOKUP(E$228,Federal,2)+(E$228-VLOOKUP(E$228,Federal,1))*VLOOKUP(E$228,Federal,3)</f>
        <v>11269.02</v>
      </c>
      <c r="F229" s="80">
        <f>VLOOKUP(F$228,Federal2002,2)+(F$228-VLOOKUP(F$228,Federal2002,1))*VLOOKUP(F$228,Federal2002,3)</f>
        <v>11299.060000000001</v>
      </c>
      <c r="H229" s="42">
        <f>VLOOKUP(H$228,Federal,2)+(H$228-VLOOKUP(H$228,Federal,1))*VLOOKUP(H$228,Federal,3)</f>
        <v>17139.3</v>
      </c>
      <c r="J229" s="42">
        <f>VLOOKUP(J$228,Federal,2)+(J$228-VLOOKUP(J$228,Federal,1))*VLOOKUP(J$228,Federal,3)</f>
        <v>11780.52</v>
      </c>
    </row>
    <row r="230" spans="3:10" ht="15.75" hidden="1">
      <c r="C230" s="5" t="s">
        <v>123</v>
      </c>
      <c r="D230" s="65"/>
      <c r="E230" s="42">
        <f>$E$14</f>
        <v>0</v>
      </c>
      <c r="F230" s="74">
        <f>$E$14</f>
        <v>0</v>
      </c>
      <c r="H230" s="44">
        <f>$E$14+H21</f>
        <v>56500</v>
      </c>
      <c r="J230" s="44">
        <f>$E$14+J21</f>
        <v>5650</v>
      </c>
    </row>
    <row r="231" spans="3:10" ht="15.75" hidden="1">
      <c r="C231" s="5"/>
      <c r="D231" s="65" t="s">
        <v>147</v>
      </c>
      <c r="E231" s="42">
        <f>$E$13*INDEX(Federal,1,3)+MIN(E$230,INDEX(Federal,2,1))*INDEX(Federal,1,4)+(E$230&gt;INDEX(Federal,2,1))*(E$230-INDEX(Federal,2,1))*INDEX(Federal,2,4)</f>
        <v>1240.96</v>
      </c>
      <c r="F231" s="80">
        <f>$E$13*INDEX(Federal,1,3)+MIN($E$14,INDEX(Federal,2,1))*INDEX(Federal,1,4)+($E$14&gt;INDEX(Federal,2,1))*($E$14-INDEX(Federal,2,1))*INDEX(Federal,2,4)</f>
        <v>1240.96</v>
      </c>
      <c r="H231" s="42">
        <f>$E$13*INDEX(Federal,1,3)+MIN(H$230,INDEX(Federal,2,1))*INDEX(Federal,1,4)+(H$230&gt;INDEX(Federal,2,1))*(H$230-INDEX(Federal,2,1))*INDEX(Federal,2,4)</f>
        <v>17599.96</v>
      </c>
      <c r="J231" s="42">
        <f>$E$13*INDEX(Federal,1,3)+MIN(J$230,INDEX(Federal,2,1))*INDEX(Federal,1,4)+(J$230&gt;INDEX(Federal,2,1))*(J$230-INDEX(Federal,2,1))*INDEX(Federal,2,4)</f>
        <v>2853.46</v>
      </c>
    </row>
    <row r="232" spans="3:10" ht="15.75" hidden="1">
      <c r="C232" s="5"/>
      <c r="D232" s="65" t="s">
        <v>2</v>
      </c>
      <c r="E232" s="42">
        <f>E229-E231</f>
        <v>10028.060000000001</v>
      </c>
      <c r="F232" s="80">
        <f>F229-F231</f>
        <v>10058.100000000002</v>
      </c>
      <c r="H232" s="42">
        <f>H229-H231</f>
        <v>-460.65999999999985</v>
      </c>
      <c r="J232" s="42">
        <f>J229-J231</f>
        <v>8927.060000000001</v>
      </c>
    </row>
    <row r="233" spans="3:10" ht="15.75" hidden="1">
      <c r="C233" s="5"/>
      <c r="D233" s="75" t="s">
        <v>125</v>
      </c>
      <c r="E233" s="42">
        <f ca="1">VLOOKUP(E$228,INDIRECT(prov),2)+(E$228-VLOOKUP(E$228,INDIRECT(prov),1))*VLOOKUP(E$228,INDIRECT(prov),3)</f>
        <v>4484.514999999999</v>
      </c>
      <c r="F233" s="80">
        <f ca="1">VLOOKUP($E$12,INDIRECT(prov),2)+($E$12-VLOOKUP($E$12,INDIRECT(prov),1))*VLOOKUP($E$12,INDIRECT(prov),3)</f>
        <v>4484.514999999999</v>
      </c>
      <c r="G233" s="81"/>
      <c r="H233" s="42">
        <f ca="1">VLOOKUP(H$228,INDIRECT(prov),2)+(H$228-VLOOKUP(H$228,INDIRECT(prov),1))*VLOOKUP(H$228,INDIRECT(prov),3)</f>
        <v>6981.3079</v>
      </c>
      <c r="J233" s="42">
        <f ca="1">VLOOKUP(J$228,INDIRECT(prov),2)+(J$228-VLOOKUP(J$228,INDIRECT(prov),1))*VLOOKUP(J$228,INDIRECT(prov),3)</f>
        <v>4697.2525</v>
      </c>
    </row>
    <row r="234" spans="3:10" ht="15.75" hidden="1">
      <c r="C234" s="5"/>
      <c r="D234" s="75" t="s">
        <v>181</v>
      </c>
      <c r="E234" s="42">
        <f>E13+IF(prov="AB",5769,0)+IF(prov="BC",551,0)+IF(prov="MB",-122,0)+IF(prov="NF",-346,0)+IF(prov="NS",-525,0)+IF(prov="NT",3294,0)+IF(prov="NU",2404,0)+IF(prov="ON",61,0)+IF(prov="PE",-344,0)+IF(prov="PQ",1214,0)+IF(prov="SK",244,0)</f>
        <v>7817</v>
      </c>
      <c r="F234" s="80"/>
      <c r="G234" s="81"/>
      <c r="H234" s="42"/>
      <c r="J234" s="42"/>
    </row>
    <row r="235" spans="3:10" ht="15.75" hidden="1">
      <c r="C235" s="5"/>
      <c r="D235" s="65" t="s">
        <v>122</v>
      </c>
      <c r="E235" s="42">
        <f ca="1">$E$234*INDEX(INDIRECT(prov),IF(prov="PQ",3,1),3)+MIN(E$230,INDEX(INDIRECT(prov),2,1))*INDEX(INDIRECT(prov),1,4)+IF(E$230&gt;INDEX(INDIRECT(prov),2,1),(E$230-INDEX(INDIRECT(prov),2,1))*INDEX(INDIRECT(prov),2,4),0)</f>
        <v>472.9285</v>
      </c>
      <c r="F235" s="80">
        <f ca="1">$E$234*INDEX(INDIRECT(prov),IF(prov="PQ",3,1),3)+MIN(F$230,INDEX(INDIRECT(prov),2,1))*INDEX(INDIRECT(prov),1,4)+IF(F$230&gt;INDEX(INDIRECT(prov),2,1),($E$14-INDEX(INDIRECT(prov),2,1))*INDEX(INDIRECT(prov),2,4),0)</f>
        <v>472.9285</v>
      </c>
      <c r="G235" s="82"/>
      <c r="H235" s="42">
        <f ca="1">$E$234*INDEX(INDIRECT(prov),IF(prov="PQ",3,1),3)+MIN(H$230,INDEX(INDIRECT(prov),2,1))*INDEX(INDIRECT(prov),1,4)+IF(H$230&gt;INDEX(INDIRECT(prov),2,1),(H$230-INDEX(INDIRECT(prov),2,1))*INDEX(INDIRECT(prov),2,4),0)</f>
        <v>6768.1085</v>
      </c>
      <c r="J235" s="42">
        <f ca="1">$E$234*INDEX(INDIRECT(prov),IF(prov="PQ",3,1),3)+MIN(J$230,INDEX(INDIRECT(prov),2,1))*INDEX(INDIRECT(prov),1,4)+IF(J$230&gt;INDEX(INDIRECT(prov),2,1),(J$230-INDEX(INDIRECT(prov),2,1))*INDEX(INDIRECT(prov),2,4),0)</f>
        <v>1093.2485000000001</v>
      </c>
    </row>
    <row r="236" spans="3:10" ht="15.75" hidden="1">
      <c r="C236" s="5"/>
      <c r="D236" s="65" t="s">
        <v>126</v>
      </c>
      <c r="E236" s="42">
        <f ca="1">IF((E233-E235)&gt;INDEX(INDIRECT(prov),1,5),(E233-E235-INDEX(INDIRECT(prov),1,5))*INDEX(INDIRECT(prov),1,6),0)+IF((E233-E235)&gt;INDEX(INDIRECT(prov),2,5),(E233-E235-INDEX(INDIRECT(prov),2,5))*INDEX(INDIRECT(prov),2,6),0)</f>
        <v>52.91729999999989</v>
      </c>
      <c r="F236" s="46">
        <f ca="1">IF((F233-F235)&gt;INDEX(INDIRECT(prov),1,5),(F233-F235-INDEX(INDIRECT(prov),1,5))*INDEX(INDIRECT(prov),1,6),0)+IF((F233-F235)&gt;INDEX(INDIRECT(prov),2,5),(F233-F235-INDEX(INDIRECT(prov),2,5))*INDEX(INDIRECT(prov),2,6),0)</f>
        <v>52.91729999999989</v>
      </c>
      <c r="G236" s="80"/>
      <c r="H236" s="42">
        <f ca="1">IF((H233-H235)&gt;INDEX(INDIRECT(prov),1,5),(H233-H235-INDEX(INDIRECT(prov),1,5))*INDEX(INDIRECT(prov),1,6),0)+IF((H233-H235)&gt;INDEX(INDIRECT(prov),2,5),(H233-H235-INDEX(INDIRECT(prov),2,5))*INDEX(INDIRECT(prov),2,6),0)</f>
        <v>0</v>
      </c>
      <c r="J236" s="42">
        <f ca="1">IF((J233-J235)&gt;INDEX(INDIRECT(prov),1,5),(J233-J235-INDEX(INDIRECT(prov),1,5))*INDEX(INDIRECT(prov),1,6),0)+IF((J233-J235)&gt;INDEX(INDIRECT(prov),2,5),(J233-J235-INDEX(INDIRECT(prov),2,5))*INDEX(INDIRECT(prov),2,6),0)</f>
        <v>0</v>
      </c>
    </row>
    <row r="237" spans="3:10" ht="15.75" hidden="1">
      <c r="C237" s="5"/>
      <c r="D237" s="65" t="s">
        <v>3</v>
      </c>
      <c r="E237" s="42">
        <f>E233-E235+E236</f>
        <v>4064.5037999999995</v>
      </c>
      <c r="F237" s="80">
        <f>F233-F235+F236</f>
        <v>4064.5037999999995</v>
      </c>
      <c r="H237" s="42">
        <f>H233-H235+H236</f>
        <v>213.1993999999995</v>
      </c>
      <c r="J237" s="42">
        <f>J233-J235+J236</f>
        <v>3604.0039999999995</v>
      </c>
    </row>
    <row r="238" spans="3:10" ht="15.75" hidden="1">
      <c r="C238" s="5"/>
      <c r="D238" s="65" t="s">
        <v>148</v>
      </c>
      <c r="E238" s="42">
        <f>E232+E237</f>
        <v>14092.5638</v>
      </c>
      <c r="F238" s="80">
        <f>F232+F237</f>
        <v>14122.6038</v>
      </c>
      <c r="G238" s="6"/>
      <c r="H238" s="42">
        <f>H232+H237</f>
        <v>-247.46060000000034</v>
      </c>
      <c r="J238" s="42">
        <f>J232+J237</f>
        <v>12531.064</v>
      </c>
    </row>
    <row r="239" spans="3:10" ht="15.75" hidden="1">
      <c r="C239" s="5"/>
      <c r="D239" s="65"/>
      <c r="E239" s="42"/>
      <c r="F239" s="80"/>
      <c r="G239" s="6"/>
      <c r="H239" s="42"/>
      <c r="J239" s="42"/>
    </row>
    <row r="240" spans="3:11" ht="15.75" hidden="1">
      <c r="C240" s="5"/>
      <c r="D240" s="65"/>
      <c r="E240" s="42"/>
      <c r="F240" s="80"/>
      <c r="G240" s="6"/>
      <c r="H240" s="42"/>
      <c r="J240" s="42"/>
      <c r="K240" t="s">
        <v>158</v>
      </c>
    </row>
    <row r="241" spans="3:11" ht="15.75" hidden="1">
      <c r="C241" s="5"/>
      <c r="D241" s="65"/>
      <c r="E241" s="42"/>
      <c r="F241" s="80"/>
      <c r="G241" s="6"/>
      <c r="H241" s="42"/>
      <c r="J241" s="42">
        <f>J19-J242*(12-$A$16)</f>
        <v>1000</v>
      </c>
      <c r="K241" t="s">
        <v>159</v>
      </c>
    </row>
    <row r="242" spans="3:11" ht="15.75" hidden="1">
      <c r="C242" s="5"/>
      <c r="D242" s="65"/>
      <c r="E242" s="42"/>
      <c r="F242" s="80"/>
      <c r="G242" s="6"/>
      <c r="H242" s="42"/>
      <c r="J242" s="42">
        <f>IF($A$16&lt;12,ROUNDDOWN((J19*0.8)/(12-$A$16),2),0)</f>
        <v>0</v>
      </c>
      <c r="K242" t="s">
        <v>160</v>
      </c>
    </row>
    <row r="243" spans="3:10" ht="15.75" hidden="1">
      <c r="C243" s="5"/>
      <c r="D243" s="65"/>
      <c r="E243" s="42"/>
      <c r="F243" s="80"/>
      <c r="G243" s="6"/>
      <c r="H243" s="42"/>
      <c r="J243" s="42"/>
    </row>
    <row r="244" spans="1:8" ht="15.75" hidden="1">
      <c r="A244" s="2" t="s">
        <v>106</v>
      </c>
      <c r="B244" s="2"/>
      <c r="C244" s="5"/>
      <c r="D244" s="5"/>
      <c r="E244" s="42"/>
      <c r="F244" s="34"/>
      <c r="G244" s="72"/>
      <c r="H244" s="30"/>
    </row>
    <row r="245" spans="1:29" ht="15.75" hidden="1">
      <c r="A245" s="2">
        <v>7.2</v>
      </c>
      <c r="B245" s="2">
        <v>3.1</v>
      </c>
      <c r="C245" s="5">
        <v>4.5</v>
      </c>
      <c r="D245" s="5">
        <v>3.3</v>
      </c>
      <c r="E245" s="2">
        <v>13.2</v>
      </c>
      <c r="F245" s="34">
        <v>9.2</v>
      </c>
      <c r="G245" s="6">
        <v>8.1</v>
      </c>
      <c r="H245" s="10">
        <v>13.2</v>
      </c>
      <c r="I245">
        <v>1.4</v>
      </c>
      <c r="J245">
        <v>13.2</v>
      </c>
      <c r="K245">
        <v>9</v>
      </c>
      <c r="L245">
        <v>16.7</v>
      </c>
      <c r="AA245">
        <v>7</v>
      </c>
      <c r="AB245" s="17">
        <v>17.6</v>
      </c>
      <c r="AC245" s="17">
        <v>56.3</v>
      </c>
    </row>
    <row r="246" spans="1:8" ht="15.75">
      <c r="A246" s="2" t="s">
        <v>168</v>
      </c>
      <c r="B246" s="2"/>
      <c r="C246" s="5"/>
      <c r="D246" s="5"/>
      <c r="E246" s="109" t="s">
        <v>165</v>
      </c>
      <c r="H246" t="s">
        <v>182</v>
      </c>
    </row>
    <row r="247" spans="1:5" ht="15.75">
      <c r="A247" s="1" t="str">
        <f>REPT(" -",50)</f>
        <v> - - - - - - - - - - - - - - - - - - - - - - - - - - - - - - - - - - - - - - - - - - - - - - - - - -</v>
      </c>
      <c r="B247" s="2"/>
      <c r="C247" s="5"/>
      <c r="D247" s="5"/>
      <c r="E247" s="2"/>
    </row>
    <row r="248" spans="1:5" ht="15.75">
      <c r="A248" s="2"/>
      <c r="B248" s="17"/>
      <c r="C248" s="17"/>
      <c r="D248" s="17"/>
      <c r="E248" s="2"/>
    </row>
    <row r="249" spans="1:5" ht="15.75">
      <c r="A249" s="2"/>
      <c r="B249" s="2"/>
      <c r="C249" s="5"/>
      <c r="D249" s="5"/>
      <c r="E249" s="2"/>
    </row>
    <row r="250" spans="1:5" ht="15.75">
      <c r="A250" s="2"/>
      <c r="B250" s="2"/>
      <c r="C250" s="5"/>
      <c r="D250" s="5"/>
      <c r="E250" s="2"/>
    </row>
    <row r="251" spans="1:5" ht="15.75">
      <c r="A251" s="1"/>
      <c r="B251" s="2"/>
      <c r="C251" s="5"/>
      <c r="D251" s="5"/>
      <c r="E251" s="2"/>
    </row>
    <row r="252" spans="1:5" ht="15.75">
      <c r="A252" s="1"/>
      <c r="B252" s="2"/>
      <c r="C252" s="5"/>
      <c r="D252" s="5"/>
      <c r="E252" s="2"/>
    </row>
    <row r="253" spans="1:5" ht="15.75">
      <c r="A253" s="1"/>
      <c r="B253" s="2"/>
      <c r="C253" s="5"/>
      <c r="D253" s="5"/>
      <c r="E253" s="2"/>
    </row>
    <row r="254" spans="1:5" ht="15.75">
      <c r="A254" s="1"/>
      <c r="B254" s="2"/>
      <c r="C254" s="5"/>
      <c r="D254" s="5"/>
      <c r="E254" s="2"/>
    </row>
    <row r="255" spans="1:5" ht="15.75">
      <c r="A255" s="1"/>
      <c r="B255" s="2"/>
      <c r="C255" s="5"/>
      <c r="D255" s="5"/>
      <c r="E255" s="2"/>
    </row>
    <row r="256" spans="1:5" ht="15.75">
      <c r="A256" s="1"/>
      <c r="B256" s="2"/>
      <c r="C256" s="5"/>
      <c r="D256" s="5"/>
      <c r="E256" s="2"/>
    </row>
    <row r="257" spans="1:5" ht="15.75">
      <c r="A257" s="1"/>
      <c r="B257" s="2"/>
      <c r="C257" s="5"/>
      <c r="D257" s="5"/>
      <c r="E257" s="2"/>
    </row>
    <row r="258" spans="1:5" ht="15.75">
      <c r="A258" s="1"/>
      <c r="B258" s="2"/>
      <c r="C258" s="5"/>
      <c r="D258" s="5"/>
      <c r="E258" s="2"/>
    </row>
    <row r="259" spans="1:5" ht="15.75">
      <c r="A259" s="1"/>
      <c r="B259" s="2"/>
      <c r="C259" s="5"/>
      <c r="D259" s="5"/>
      <c r="E259" s="2"/>
    </row>
    <row r="260" spans="1:5" ht="15.75">
      <c r="A260" s="1"/>
      <c r="B260" s="2"/>
      <c r="C260" s="5"/>
      <c r="D260" s="5"/>
      <c r="E260" s="2"/>
    </row>
    <row r="261" spans="1:5" ht="15.75">
      <c r="A261" s="1"/>
      <c r="B261" s="2"/>
      <c r="C261" s="5"/>
      <c r="D261" s="5"/>
      <c r="E261" s="2"/>
    </row>
    <row r="262" spans="1:5" ht="15.75">
      <c r="A262" s="1"/>
      <c r="B262" s="2"/>
      <c r="C262" s="5"/>
      <c r="D262" s="5"/>
      <c r="E262" s="2"/>
    </row>
    <row r="263" spans="1:5" ht="15.75">
      <c r="A263" s="1"/>
      <c r="B263" s="2"/>
      <c r="C263" s="5"/>
      <c r="D263" s="5"/>
      <c r="E263" s="2"/>
    </row>
    <row r="264" spans="1:5" ht="15.75">
      <c r="A264" s="1"/>
      <c r="B264" s="2"/>
      <c r="C264" s="5"/>
      <c r="D264" s="5"/>
      <c r="E264" s="2"/>
    </row>
    <row r="265" spans="1:5" ht="15.75">
      <c r="A265" s="1"/>
      <c r="B265" s="2"/>
      <c r="C265" s="5"/>
      <c r="D265" s="5"/>
      <c r="E265" s="2"/>
    </row>
    <row r="266" spans="1:5" ht="15.75">
      <c r="A266" s="1"/>
      <c r="B266" s="2"/>
      <c r="C266" s="5"/>
      <c r="D266" s="5"/>
      <c r="E266" s="2"/>
    </row>
    <row r="267" spans="1:5" ht="15.75">
      <c r="A267" s="1"/>
      <c r="B267" s="2"/>
      <c r="C267" s="5"/>
      <c r="D267" s="5"/>
      <c r="E267" s="2"/>
    </row>
    <row r="268" spans="1:5" ht="15.75">
      <c r="A268" s="1"/>
      <c r="B268" s="2"/>
      <c r="C268" s="5"/>
      <c r="D268" s="5"/>
      <c r="E268" s="2"/>
    </row>
    <row r="269" spans="1:5" ht="15.75">
      <c r="A269" s="1"/>
      <c r="B269" s="2"/>
      <c r="C269" s="5"/>
      <c r="D269" s="5"/>
      <c r="E269" s="2"/>
    </row>
    <row r="270" spans="1:5" ht="15.75">
      <c r="A270" s="1"/>
      <c r="B270" s="2"/>
      <c r="C270" s="5"/>
      <c r="D270" s="5"/>
      <c r="E270" s="2"/>
    </row>
    <row r="271" spans="1:5" ht="15.75">
      <c r="A271" s="1"/>
      <c r="B271" s="2"/>
      <c r="C271" s="5"/>
      <c r="D271" s="5"/>
      <c r="E271" s="2"/>
    </row>
    <row r="272" spans="1:5" ht="15.75">
      <c r="A272" s="1"/>
      <c r="B272" s="2"/>
      <c r="C272" s="5"/>
      <c r="D272" s="5"/>
      <c r="E272" s="2"/>
    </row>
    <row r="273" spans="1:5" ht="15.75">
      <c r="A273" s="1"/>
      <c r="B273" s="2"/>
      <c r="C273" s="5"/>
      <c r="D273" s="5"/>
      <c r="E273" s="2"/>
    </row>
    <row r="274" spans="1:5" ht="15.75">
      <c r="A274" s="1"/>
      <c r="B274" s="2"/>
      <c r="C274" s="5"/>
      <c r="D274" s="5"/>
      <c r="E274" s="2"/>
    </row>
    <row r="275" spans="1:5" ht="15.75">
      <c r="A275" s="1"/>
      <c r="B275" s="2"/>
      <c r="C275" s="5"/>
      <c r="D275" s="5"/>
      <c r="E275" s="2"/>
    </row>
    <row r="276" spans="1:5" ht="15.75">
      <c r="A276" s="1"/>
      <c r="B276" s="2"/>
      <c r="C276" s="5"/>
      <c r="D276" s="5"/>
      <c r="E276" s="2"/>
    </row>
    <row r="277" spans="1:5" ht="15.75">
      <c r="A277" s="1"/>
      <c r="B277" s="2"/>
      <c r="C277" s="5"/>
      <c r="D277" s="5"/>
      <c r="E277" s="2"/>
    </row>
    <row r="278" spans="1:5" ht="15.75">
      <c r="A278" s="1"/>
      <c r="B278" s="2"/>
      <c r="C278" s="5"/>
      <c r="D278" s="5"/>
      <c r="E278" s="2"/>
    </row>
    <row r="279" spans="1:5" ht="15.75">
      <c r="A279" s="1"/>
      <c r="B279" s="2"/>
      <c r="C279" s="5"/>
      <c r="D279" s="5"/>
      <c r="E279" s="2"/>
    </row>
    <row r="280" spans="1:5" ht="15.75">
      <c r="A280" s="1"/>
      <c r="B280" s="2"/>
      <c r="C280" s="5"/>
      <c r="D280" s="5"/>
      <c r="E280" s="2"/>
    </row>
    <row r="281" spans="1:5" ht="15.75">
      <c r="A281" s="1"/>
      <c r="B281" s="2"/>
      <c r="C281" s="5"/>
      <c r="D281" s="5"/>
      <c r="E281" s="2"/>
    </row>
    <row r="282" spans="1:5" ht="15.75">
      <c r="A282" s="1"/>
      <c r="B282" s="2"/>
      <c r="C282" s="5"/>
      <c r="D282" s="5"/>
      <c r="E282" s="2"/>
    </row>
    <row r="283" spans="1:5" ht="15.75">
      <c r="A283" s="1"/>
      <c r="B283" s="2"/>
      <c r="C283" s="5"/>
      <c r="D283" s="5"/>
      <c r="E283" s="2"/>
    </row>
    <row r="284" spans="1:5" ht="15.75">
      <c r="A284" s="1"/>
      <c r="B284" s="2"/>
      <c r="C284" s="5"/>
      <c r="D284" s="5"/>
      <c r="E284" s="2"/>
    </row>
    <row r="285" spans="1:5" ht="15.75">
      <c r="A285" s="1"/>
      <c r="B285" s="2"/>
      <c r="C285" s="5"/>
      <c r="D285" s="5"/>
      <c r="E285" s="2"/>
    </row>
    <row r="286" spans="1:5" ht="15.75">
      <c r="A286" s="1"/>
      <c r="B286" s="2"/>
      <c r="C286" s="5"/>
      <c r="D286" s="5"/>
      <c r="E286" s="2"/>
    </row>
    <row r="287" spans="1:5" ht="15.75">
      <c r="A287" s="1"/>
      <c r="B287" s="2"/>
      <c r="C287" s="5"/>
      <c r="D287" s="5"/>
      <c r="E287" s="2"/>
    </row>
    <row r="288" spans="1:5" ht="15.75">
      <c r="A288" s="1"/>
      <c r="B288" s="2"/>
      <c r="C288" s="5"/>
      <c r="D288" s="5"/>
      <c r="E288" s="2"/>
    </row>
    <row r="289" spans="1:5" ht="15.75">
      <c r="A289" s="1"/>
      <c r="B289" s="2"/>
      <c r="C289" s="5"/>
      <c r="D289" s="5"/>
      <c r="E289" s="2"/>
    </row>
    <row r="290" spans="1:5" ht="15.75">
      <c r="A290" s="1"/>
      <c r="B290" s="2"/>
      <c r="C290" s="5"/>
      <c r="D290" s="5"/>
      <c r="E290" s="2"/>
    </row>
    <row r="291" spans="1:5" ht="15.75">
      <c r="A291" s="1"/>
      <c r="B291" s="2"/>
      <c r="C291" s="5"/>
      <c r="D291" s="5"/>
      <c r="E291" s="2"/>
    </row>
    <row r="292" spans="1:5" ht="15.75">
      <c r="A292" s="1"/>
      <c r="B292" s="2"/>
      <c r="C292" s="5"/>
      <c r="D292" s="5"/>
      <c r="E292" s="2"/>
    </row>
    <row r="293" spans="1:5" ht="15.75">
      <c r="A293" s="1"/>
      <c r="B293" s="2"/>
      <c r="C293" s="5"/>
      <c r="D293" s="5"/>
      <c r="E293" s="2"/>
    </row>
    <row r="294" spans="1:5" ht="15.75">
      <c r="A294" s="1"/>
      <c r="B294" s="2"/>
      <c r="C294" s="5"/>
      <c r="D294" s="5"/>
      <c r="E294" s="2"/>
    </row>
    <row r="295" spans="1:5" ht="15.75">
      <c r="A295" s="1"/>
      <c r="B295" s="2"/>
      <c r="C295" s="5"/>
      <c r="D295" s="5"/>
      <c r="E295" s="2"/>
    </row>
    <row r="296" spans="1:5" ht="15.75">
      <c r="A296" s="1"/>
      <c r="B296" s="2"/>
      <c r="C296" s="5"/>
      <c r="D296" s="5"/>
      <c r="E296" s="2"/>
    </row>
    <row r="297" spans="1:5" ht="15.75">
      <c r="A297" s="1"/>
      <c r="B297" s="2"/>
      <c r="C297" s="5"/>
      <c r="D297" s="5"/>
      <c r="E297" s="2"/>
    </row>
    <row r="298" spans="1:5" ht="15.75">
      <c r="A298" s="1"/>
      <c r="B298" s="2"/>
      <c r="C298" s="5"/>
      <c r="D298" s="5"/>
      <c r="E298" s="2"/>
    </row>
    <row r="299" spans="1:5" ht="15.75">
      <c r="A299" s="1"/>
      <c r="B299" s="2"/>
      <c r="C299" s="5"/>
      <c r="D299" s="5"/>
      <c r="E299" s="2"/>
    </row>
    <row r="300" spans="1:5" ht="15.75">
      <c r="A300" s="1"/>
      <c r="B300" s="2"/>
      <c r="C300" s="5"/>
      <c r="D300" s="5"/>
      <c r="E300" s="2"/>
    </row>
    <row r="301" spans="1:5" ht="15.75">
      <c r="A301" s="1"/>
      <c r="B301" s="2"/>
      <c r="C301" s="5"/>
      <c r="D301" s="5"/>
      <c r="E301" s="2"/>
    </row>
    <row r="302" spans="1:5" ht="15.75">
      <c r="A302" s="1"/>
      <c r="B302" s="2"/>
      <c r="C302" s="5"/>
      <c r="D302" s="5"/>
      <c r="E302" s="2"/>
    </row>
    <row r="303" spans="1:5" ht="15.75">
      <c r="A303" s="1"/>
      <c r="B303" s="2"/>
      <c r="C303" s="5"/>
      <c r="D303" s="5"/>
      <c r="E303" s="2"/>
    </row>
    <row r="304" spans="1:5" ht="15.75">
      <c r="A304" s="1"/>
      <c r="B304" s="2"/>
      <c r="C304" s="5"/>
      <c r="D304" s="5"/>
      <c r="E304" s="2"/>
    </row>
    <row r="305" spans="1:5" ht="15.75">
      <c r="A305" s="1"/>
      <c r="B305" s="2"/>
      <c r="C305" s="5"/>
      <c r="D305" s="5"/>
      <c r="E305" s="2"/>
    </row>
    <row r="306" spans="1:5" ht="15.75">
      <c r="A306" s="1"/>
      <c r="B306" s="2"/>
      <c r="C306" s="5"/>
      <c r="D306" s="5"/>
      <c r="E306" s="2"/>
    </row>
    <row r="307" spans="1:5" ht="15.75">
      <c r="A307" s="1"/>
      <c r="B307" s="2"/>
      <c r="C307" s="5"/>
      <c r="D307" s="5"/>
      <c r="E307" s="2"/>
    </row>
    <row r="308" spans="1:5" ht="15.75">
      <c r="A308" s="1"/>
      <c r="B308" s="2"/>
      <c r="C308" s="5"/>
      <c r="D308" s="5"/>
      <c r="E308" s="2"/>
    </row>
    <row r="309" spans="1:5" ht="15.75">
      <c r="A309" s="1"/>
      <c r="B309" s="2"/>
      <c r="C309" s="5"/>
      <c r="D309" s="5"/>
      <c r="E309" s="2"/>
    </row>
    <row r="310" spans="1:5" ht="15.75">
      <c r="A310" s="1"/>
      <c r="B310" s="2"/>
      <c r="C310" s="5"/>
      <c r="D310" s="5"/>
      <c r="E310" s="2"/>
    </row>
    <row r="311" spans="1:5" ht="15.75">
      <c r="A311" s="1"/>
      <c r="B311" s="2"/>
      <c r="C311" s="5"/>
      <c r="D311" s="5"/>
      <c r="E311" s="2"/>
    </row>
    <row r="312" spans="1:5" ht="15.75">
      <c r="A312" s="1"/>
      <c r="B312" s="2"/>
      <c r="C312" s="5"/>
      <c r="D312" s="5"/>
      <c r="E312" s="2"/>
    </row>
    <row r="313" spans="1:5" ht="15.75">
      <c r="A313" s="1"/>
      <c r="B313" s="2"/>
      <c r="C313" s="5"/>
      <c r="D313" s="5"/>
      <c r="E313" s="2"/>
    </row>
    <row r="314" spans="1:5" ht="15.75">
      <c r="A314" s="1"/>
      <c r="B314" s="2"/>
      <c r="C314" s="5"/>
      <c r="D314" s="5"/>
      <c r="E314" s="2"/>
    </row>
    <row r="315" spans="1:5" ht="15.75">
      <c r="A315" s="1"/>
      <c r="B315" s="2"/>
      <c r="C315" s="5"/>
      <c r="D315" s="5"/>
      <c r="E315" s="2"/>
    </row>
    <row r="316" spans="1:5" ht="15.75">
      <c r="A316" s="1"/>
      <c r="B316" s="2"/>
      <c r="C316" s="5"/>
      <c r="D316" s="5"/>
      <c r="E316" s="2"/>
    </row>
    <row r="317" spans="1:5" ht="15.75">
      <c r="A317" s="1"/>
      <c r="B317" s="2"/>
      <c r="C317" s="5"/>
      <c r="D317" s="5"/>
      <c r="E317" s="2"/>
    </row>
    <row r="318" spans="1:5" ht="15.75">
      <c r="A318" s="1"/>
      <c r="B318" s="2"/>
      <c r="C318" s="5"/>
      <c r="D318" s="5"/>
      <c r="E318" s="2"/>
    </row>
    <row r="319" spans="1:5" ht="15.75">
      <c r="A319" s="1"/>
      <c r="B319" s="2"/>
      <c r="C319" s="5"/>
      <c r="D319" s="5"/>
      <c r="E319" s="2"/>
    </row>
    <row r="320" spans="1:5" ht="15.75">
      <c r="A320" s="1"/>
      <c r="B320" s="2"/>
      <c r="C320" s="5"/>
      <c r="D320" s="5"/>
      <c r="E320" s="2"/>
    </row>
    <row r="321" spans="1:5" ht="15.75">
      <c r="A321" s="1"/>
      <c r="B321" s="2"/>
      <c r="C321" s="5"/>
      <c r="D321" s="5"/>
      <c r="E321" s="2"/>
    </row>
    <row r="322" spans="1:5" ht="15.75">
      <c r="A322" s="1"/>
      <c r="B322" s="2"/>
      <c r="C322" s="5"/>
      <c r="D322" s="5"/>
      <c r="E322" s="2"/>
    </row>
    <row r="323" spans="1:5" ht="15.75">
      <c r="A323" s="1"/>
      <c r="B323" s="2"/>
      <c r="C323" s="5"/>
      <c r="D323" s="5"/>
      <c r="E323" s="2"/>
    </row>
    <row r="324" spans="1:5" ht="15.75">
      <c r="A324" s="1"/>
      <c r="B324" s="2"/>
      <c r="C324" s="5"/>
      <c r="D324" s="5"/>
      <c r="E324" s="2"/>
    </row>
    <row r="325" spans="1:5" ht="15.75">
      <c r="A325" s="1"/>
      <c r="B325" s="2"/>
      <c r="C325" s="5"/>
      <c r="D325" s="5"/>
      <c r="E325" s="2"/>
    </row>
    <row r="326" spans="1:5" ht="15.75">
      <c r="A326" s="1"/>
      <c r="B326" s="2"/>
      <c r="C326" s="5"/>
      <c r="D326" s="5"/>
      <c r="E326" s="2"/>
    </row>
    <row r="327" spans="1:5" ht="15.75">
      <c r="A327" s="1"/>
      <c r="B327" s="2"/>
      <c r="C327" s="5"/>
      <c r="D327" s="5"/>
      <c r="E327" s="2"/>
    </row>
    <row r="328" spans="1:5" ht="15.75">
      <c r="A328" s="1"/>
      <c r="B328" s="2"/>
      <c r="C328" s="5"/>
      <c r="D328" s="5"/>
      <c r="E328" s="2"/>
    </row>
    <row r="329" spans="1:5" ht="15.75">
      <c r="A329" s="1"/>
      <c r="B329" s="2"/>
      <c r="C329" s="5"/>
      <c r="D329" s="5"/>
      <c r="E329" s="2"/>
    </row>
    <row r="330" spans="1:5" ht="15.75">
      <c r="A330" s="1"/>
      <c r="B330" s="2"/>
      <c r="C330" s="5"/>
      <c r="D330" s="5"/>
      <c r="E330" s="2"/>
    </row>
    <row r="331" spans="1:5" ht="15.75">
      <c r="A331" s="1"/>
      <c r="B331" s="2"/>
      <c r="C331" s="5"/>
      <c r="D331" s="5"/>
      <c r="E331" s="2"/>
    </row>
    <row r="332" spans="1:5" ht="15.75">
      <c r="A332" s="1"/>
      <c r="B332" s="2"/>
      <c r="C332" s="5"/>
      <c r="D332" s="5"/>
      <c r="E332" s="2"/>
    </row>
    <row r="333" spans="1:5" ht="15.75">
      <c r="A333" s="1"/>
      <c r="B333" s="2"/>
      <c r="C333" s="5"/>
      <c r="D333" s="5"/>
      <c r="E333" s="2"/>
    </row>
    <row r="334" spans="1:5" ht="15.75">
      <c r="A334" s="1"/>
      <c r="B334" s="2"/>
      <c r="C334" s="5"/>
      <c r="D334" s="5"/>
      <c r="E334" s="2"/>
    </row>
    <row r="335" spans="1:5" ht="15.75">
      <c r="A335" s="1"/>
      <c r="B335" s="2"/>
      <c r="C335" s="5"/>
      <c r="D335" s="5"/>
      <c r="E335" s="2"/>
    </row>
    <row r="336" spans="1:5" ht="15.75">
      <c r="A336" s="1"/>
      <c r="B336" s="2"/>
      <c r="C336" s="5"/>
      <c r="D336" s="5"/>
      <c r="E336" s="2"/>
    </row>
    <row r="337" spans="1:5" ht="15.75">
      <c r="A337" s="1"/>
      <c r="B337" s="2"/>
      <c r="C337" s="5"/>
      <c r="D337" s="5"/>
      <c r="E337" s="2"/>
    </row>
    <row r="338" spans="1:5" ht="15.75">
      <c r="A338" s="1"/>
      <c r="B338" s="2"/>
      <c r="C338" s="5"/>
      <c r="D338" s="5"/>
      <c r="E338" s="2"/>
    </row>
    <row r="339" spans="1:5" ht="15.75">
      <c r="A339" s="1"/>
      <c r="B339" s="2"/>
      <c r="C339" s="5"/>
      <c r="D339" s="5"/>
      <c r="E339" s="2"/>
    </row>
    <row r="340" spans="1:5" ht="15.75">
      <c r="A340" s="1"/>
      <c r="B340" s="2"/>
      <c r="C340" s="5"/>
      <c r="D340" s="5"/>
      <c r="E340" s="2"/>
    </row>
    <row r="341" spans="1:5" ht="15.75">
      <c r="A341" s="1"/>
      <c r="B341" s="2"/>
      <c r="C341" s="5"/>
      <c r="D341" s="5"/>
      <c r="E341" s="2"/>
    </row>
    <row r="342" spans="1:5" ht="15.75">
      <c r="A342" s="1"/>
      <c r="B342" s="2"/>
      <c r="C342" s="5"/>
      <c r="D342" s="5"/>
      <c r="E342" s="2"/>
    </row>
    <row r="343" spans="1:5" ht="15.75">
      <c r="A343" s="1"/>
      <c r="B343" s="2"/>
      <c r="C343" s="5"/>
      <c r="D343" s="5"/>
      <c r="E343" s="2"/>
    </row>
    <row r="344" spans="1:5" ht="15.75">
      <c r="A344" s="1"/>
      <c r="B344" s="2"/>
      <c r="C344" s="5"/>
      <c r="D344" s="5"/>
      <c r="E344" s="2"/>
    </row>
    <row r="345" spans="1:5" ht="15.75">
      <c r="A345" s="1"/>
      <c r="B345" s="2"/>
      <c r="C345" s="5"/>
      <c r="D345" s="5"/>
      <c r="E345" s="2"/>
    </row>
    <row r="346" spans="1:5" ht="15.75">
      <c r="A346" s="1"/>
      <c r="B346" s="2"/>
      <c r="C346" s="5"/>
      <c r="D346" s="5"/>
      <c r="E346" s="2"/>
    </row>
    <row r="347" spans="1:5" ht="15.75">
      <c r="A347" s="1"/>
      <c r="B347" s="2"/>
      <c r="C347" s="5"/>
      <c r="D347" s="5"/>
      <c r="E347" s="2"/>
    </row>
    <row r="348" spans="1:5" ht="15.75">
      <c r="A348" s="1"/>
      <c r="B348" s="2"/>
      <c r="C348" s="5"/>
      <c r="D348" s="5"/>
      <c r="E348" s="2"/>
    </row>
    <row r="349" spans="1:5" ht="15.75">
      <c r="A349" s="1"/>
      <c r="B349" s="2"/>
      <c r="C349" s="5"/>
      <c r="D349" s="5"/>
      <c r="E349" s="2"/>
    </row>
    <row r="350" spans="1:5" ht="15.75">
      <c r="A350" s="1"/>
      <c r="B350" s="2"/>
      <c r="C350" s="5"/>
      <c r="D350" s="5"/>
      <c r="E350" s="2"/>
    </row>
    <row r="351" spans="1:5" ht="15.75">
      <c r="A351" s="1"/>
      <c r="B351" s="2"/>
      <c r="C351" s="5"/>
      <c r="D351" s="5"/>
      <c r="E351" s="2"/>
    </row>
    <row r="352" spans="1:5" ht="15.75">
      <c r="A352" s="1"/>
      <c r="B352" s="2"/>
      <c r="C352" s="5"/>
      <c r="D352" s="5"/>
      <c r="E352" s="2"/>
    </row>
    <row r="353" spans="1:5" ht="15.75">
      <c r="A353" s="1"/>
      <c r="B353" s="2"/>
      <c r="C353" s="5"/>
      <c r="D353" s="5"/>
      <c r="E353" s="2"/>
    </row>
    <row r="354" spans="1:5" ht="15.75">
      <c r="A354" s="1"/>
      <c r="B354" s="2"/>
      <c r="C354" s="5"/>
      <c r="D354" s="5"/>
      <c r="E354" s="2"/>
    </row>
    <row r="355" spans="1:5" ht="15.75">
      <c r="A355" s="1"/>
      <c r="B355" s="2"/>
      <c r="C355" s="5"/>
      <c r="D355" s="5"/>
      <c r="E355" s="2"/>
    </row>
    <row r="356" spans="1:5" ht="15.75">
      <c r="A356" s="1"/>
      <c r="B356" s="2"/>
      <c r="C356" s="5"/>
      <c r="D356" s="5"/>
      <c r="E356" s="2"/>
    </row>
    <row r="357" spans="1:5" ht="15.75">
      <c r="A357" s="1"/>
      <c r="B357" s="2"/>
      <c r="C357" s="5"/>
      <c r="D357" s="5"/>
      <c r="E357" s="2"/>
    </row>
    <row r="358" spans="1:5" ht="15.75">
      <c r="A358" s="1"/>
      <c r="B358" s="2"/>
      <c r="C358" s="5"/>
      <c r="D358" s="5"/>
      <c r="E358" s="2"/>
    </row>
    <row r="359" spans="1:5" ht="15.75">
      <c r="A359" s="1"/>
      <c r="B359" s="2"/>
      <c r="C359" s="5"/>
      <c r="D359" s="5"/>
      <c r="E359" s="2"/>
    </row>
    <row r="360" spans="1:5" ht="15.75">
      <c r="A360" s="1"/>
      <c r="B360" s="2"/>
      <c r="C360" s="5"/>
      <c r="D360" s="5"/>
      <c r="E360" s="2"/>
    </row>
    <row r="361" spans="1:5" ht="15.75">
      <c r="A361" s="1"/>
      <c r="B361" s="2"/>
      <c r="C361" s="5"/>
      <c r="D361" s="5"/>
      <c r="E361" s="2"/>
    </row>
    <row r="362" spans="1:5" ht="15.75">
      <c r="A362" s="1"/>
      <c r="B362" s="2"/>
      <c r="C362" s="5"/>
      <c r="D362" s="5"/>
      <c r="E362" s="2"/>
    </row>
    <row r="363" spans="1:5" ht="15.75">
      <c r="A363" s="1"/>
      <c r="B363" s="2"/>
      <c r="C363" s="5"/>
      <c r="D363" s="5"/>
      <c r="E363" s="2"/>
    </row>
    <row r="364" spans="1:5" ht="15.75">
      <c r="A364" s="1"/>
      <c r="B364" s="2"/>
      <c r="C364" s="5"/>
      <c r="D364" s="5"/>
      <c r="E364" s="2"/>
    </row>
    <row r="365" spans="1:5" ht="15.75">
      <c r="A365" s="1"/>
      <c r="B365" s="2"/>
      <c r="C365" s="5"/>
      <c r="D365" s="5"/>
      <c r="E365" s="2"/>
    </row>
    <row r="366" spans="1:5" ht="15.75">
      <c r="A366" s="1"/>
      <c r="B366" s="2"/>
      <c r="C366" s="5"/>
      <c r="D366" s="5"/>
      <c r="E366" s="2"/>
    </row>
    <row r="367" spans="1:5" ht="15.75">
      <c r="A367" s="1"/>
      <c r="B367" s="2"/>
      <c r="C367" s="5"/>
      <c r="D367" s="5"/>
      <c r="E367" s="2"/>
    </row>
    <row r="368" spans="1:5" ht="15.75">
      <c r="A368" s="1"/>
      <c r="B368" s="2"/>
      <c r="C368" s="5"/>
      <c r="D368" s="5"/>
      <c r="E368" s="2"/>
    </row>
    <row r="369" spans="1:5" ht="15.75">
      <c r="A369" s="1"/>
      <c r="B369" s="2"/>
      <c r="C369" s="5"/>
      <c r="D369" s="5"/>
      <c r="E369" s="2"/>
    </row>
    <row r="370" spans="1:5" ht="15.75">
      <c r="A370" s="1"/>
      <c r="B370" s="2"/>
      <c r="C370" s="5"/>
      <c r="D370" s="5"/>
      <c r="E370" s="2"/>
    </row>
    <row r="371" spans="1:5" ht="15.75">
      <c r="A371" s="1"/>
      <c r="B371" s="2"/>
      <c r="C371" s="5"/>
      <c r="D371" s="5"/>
      <c r="E371" s="2"/>
    </row>
    <row r="372" spans="1:5" ht="15.75">
      <c r="A372" s="1"/>
      <c r="B372" s="2"/>
      <c r="C372" s="5"/>
      <c r="D372" s="5"/>
      <c r="E372" s="2"/>
    </row>
    <row r="373" spans="1:5" ht="15.75">
      <c r="A373" s="1"/>
      <c r="B373" s="2"/>
      <c r="C373" s="5"/>
      <c r="D373" s="5"/>
      <c r="E373" s="2"/>
    </row>
    <row r="374" spans="1:5" ht="15.75">
      <c r="A374" s="1"/>
      <c r="B374" s="2"/>
      <c r="C374" s="5"/>
      <c r="D374" s="5"/>
      <c r="E374" s="2"/>
    </row>
    <row r="375" spans="1:5" ht="15.75">
      <c r="A375" s="1"/>
      <c r="B375" s="2"/>
      <c r="C375" s="5"/>
      <c r="D375" s="5"/>
      <c r="E375" s="2"/>
    </row>
    <row r="376" spans="1:5" ht="15.75">
      <c r="A376" s="1"/>
      <c r="B376" s="2"/>
      <c r="C376" s="5"/>
      <c r="D376" s="5"/>
      <c r="E376" s="2"/>
    </row>
    <row r="377" spans="1:5" ht="15.75">
      <c r="A377" s="1"/>
      <c r="B377" s="2"/>
      <c r="C377" s="5"/>
      <c r="D377" s="5"/>
      <c r="E377" s="2"/>
    </row>
    <row r="378" spans="1:5" ht="15.75">
      <c r="A378" s="1"/>
      <c r="B378" s="2"/>
      <c r="C378" s="5"/>
      <c r="D378" s="5"/>
      <c r="E378" s="2"/>
    </row>
    <row r="379" spans="1:5" ht="15.75">
      <c r="A379" s="1"/>
      <c r="B379" s="2"/>
      <c r="C379" s="5"/>
      <c r="D379" s="5"/>
      <c r="E379" s="2"/>
    </row>
    <row r="380" spans="1:5" ht="15.75">
      <c r="A380" s="1"/>
      <c r="B380" s="2"/>
      <c r="C380" s="5"/>
      <c r="D380" s="5"/>
      <c r="E380" s="2"/>
    </row>
    <row r="381" spans="1:5" ht="15.75">
      <c r="A381" s="1"/>
      <c r="B381" s="2"/>
      <c r="C381" s="5"/>
      <c r="D381" s="5"/>
      <c r="E381" s="2"/>
    </row>
    <row r="382" spans="1:5" ht="15.75">
      <c r="A382" s="1"/>
      <c r="B382" s="2"/>
      <c r="C382" s="5"/>
      <c r="D382" s="5"/>
      <c r="E382" s="2"/>
    </row>
    <row r="383" spans="1:5" ht="15.75">
      <c r="A383" s="1"/>
      <c r="B383" s="2"/>
      <c r="C383" s="5"/>
      <c r="D383" s="5"/>
      <c r="E383" s="2"/>
    </row>
    <row r="384" spans="1:5" ht="15.75">
      <c r="A384" s="1"/>
      <c r="B384" s="2"/>
      <c r="C384" s="5"/>
      <c r="D384" s="5"/>
      <c r="E384" s="2"/>
    </row>
    <row r="385" spans="1:5" ht="15.75">
      <c r="A385" s="1"/>
      <c r="B385" s="2"/>
      <c r="C385" s="5"/>
      <c r="D385" s="5"/>
      <c r="E385" s="2"/>
    </row>
    <row r="386" spans="1:5" ht="15.75">
      <c r="A386" s="1"/>
      <c r="B386" s="2"/>
      <c r="C386" s="5"/>
      <c r="D386" s="5"/>
      <c r="E386" s="2"/>
    </row>
    <row r="387" spans="1:5" ht="15.75">
      <c r="A387" s="1"/>
      <c r="B387" s="2"/>
      <c r="C387" s="5"/>
      <c r="D387" s="5"/>
      <c r="E387" s="2"/>
    </row>
  </sheetData>
  <sheetProtection password="D1B5" sheet="1" objects="1" scenarios="1"/>
  <conditionalFormatting sqref="H25 H32:J34">
    <cfRule type="cellIs" priority="1" dxfId="0" operator="lessThan" stopIfTrue="1">
      <formula>0</formula>
    </cfRule>
  </conditionalFormatting>
  <dataValidations count="8">
    <dataValidation type="list" allowBlank="1" showInputMessage="1" showErrorMessage="1" promptTitle="Province" prompt="Select 2 character abbreviation from drop down list." sqref="E11">
      <formula1>A$83:A$95</formula1>
    </dataValidation>
    <dataValidation type="custom" showErrorMessage="1" errorTitle="Other Charitable Donations" error="Negative numbers not allowed." sqref="E14">
      <formula1>E14&gt;=0</formula1>
    </dataValidation>
    <dataValidation type="list" allowBlank="1" showInputMessage="1" showErrorMessage="1" sqref="A17">
      <formula1>$D$108:$D$109</formula1>
    </dataValidation>
    <dataValidation errorStyle="warning" allowBlank="1" showInputMessage="1" showErrorMessage="1" errorTitle="Warn and Continue" error="That's not allowed." sqref="H19 J19"/>
    <dataValidation errorStyle="warning" type="custom" allowBlank="1" showInputMessage="1" showErrorMessage="1" errorTitle="Warn and Continue" error="Press continue and see note." sqref="H18">
      <formula1>AND(INT(H18/1000)*1000=H18,H18&gt;=0,H18&lt;=$H$17)</formula1>
    </dataValidation>
    <dataValidation errorStyle="warning" type="custom" allowBlank="1" showInputMessage="1" showErrorMessage="1" errorTitle="Warn and Continue" error="This value should be reset to 5.65" sqref="A50:B50">
      <formula1>A50=5.65</formula1>
    </dataValidation>
    <dataValidation type="list" allowBlank="1" showInputMessage="1" showErrorMessage="1" promptTitle="Select Month" prompt="April = 4&#10;May = 5&#10;etc." sqref="A16">
      <formula1>$H$107:$P$107</formula1>
    </dataValidation>
    <dataValidation type="list" allowBlank="1" showErrorMessage="1" sqref="A46">
      <formula1>$AA$3:$AA$50</formula1>
    </dataValidation>
  </dataValidations>
  <hyperlinks>
    <hyperlink ref="C7" r:id="rId1" display="mailto:info@initiativescanada.com?subject=ICC%20Information%20Request"/>
    <hyperlink ref="C8" r:id="rId2" display="http://www.initiativescanada.com/"/>
    <hyperlink ref="E246" r:id="rId3" display="mailto:j.harris@ieee.org?subject=Initiatives%20Canada%20Spreadsheet"/>
  </hyperlinks>
  <printOptions/>
  <pageMargins left="0.9" right="0.6" top="0.5" bottom="0.6" header="0" footer="0.4"/>
  <pageSetup horizontalDpi="360" verticalDpi="360" orientation="portrait" r:id="rId5"/>
  <headerFooter alignWithMargins="0">
    <oddFooter>&amp;L&amp;"Times New Roman,Regular"&amp;10Estimate Only&amp;R&amp;"Times New Roman,Regular"&amp;10&amp;D &amp;T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 Harris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Calculation for Book Donation</dc:title>
  <dc:subject/>
  <dc:creator>John Harris</dc:creator>
  <cp:keywords/>
  <dc:description/>
  <cp:lastModifiedBy>John Harris</cp:lastModifiedBy>
  <cp:lastPrinted>2003-06-13T13:42:25Z</cp:lastPrinted>
  <dcterms:created xsi:type="dcterms:W3CDTF">2000-06-08T03:26:13Z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