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12390" windowHeight="7740" activeTab="0"/>
  </bookViews>
  <sheets>
    <sheet name="2004 BobCommisso" sheetId="1" r:id="rId1"/>
  </sheets>
  <externalReferences>
    <externalReference r:id="rId4"/>
    <externalReference r:id="rId5"/>
    <externalReference r:id="rId6"/>
  </externalReferences>
  <definedNames>
    <definedName name="_Fill" hidden="1">'[3]TMRF Budget Section'!#REF!</definedName>
    <definedName name="admin_srvcs">'[1]Budgeting tool'!$R$209</definedName>
    <definedName name="Advance_program">'[1]Budgeting tool'!$R$140</definedName>
    <definedName name="advertisements">'[1]Budgeting tool'!$R$142</definedName>
    <definedName name="amount_at_conf_nonmember">'[1]Budgeting tool'!$R$38:$R$41</definedName>
    <definedName name="amount_from_member_advance">'[1]Budgeting tool'!$R$25:$R$28</definedName>
    <definedName name="amount_from_member_at_conference">'[1]Budgeting tool'!$R$29:$R$32</definedName>
    <definedName name="amount_of_corpsupport">'[1]Budgeting tool'!$R$96</definedName>
    <definedName name="amount_of_grants">'[1]Budgeting tool'!$R$100</definedName>
    <definedName name="amount_of_interest">'[1]Budgeting tool'!$R$110</definedName>
    <definedName name="Amount_of_lifemember_advance">'[1]Budgeting tool'!$R$52:$R$55</definedName>
    <definedName name="Amount_of_miniconf_symp">'[1]Budgeting tool'!$R$65</definedName>
    <definedName name="amount_of_nonmember_advance">'[1]Budgeting tool'!$R$34:$R$37</definedName>
    <definedName name="amount_of_reducerate_advance">'[1]Budgeting tool'!$R$43:$R$46</definedName>
    <definedName name="amount_of_total_tutorial">'[1]Budgeting tool'!$R$76:$R$81</definedName>
    <definedName name="amt_from_social_event">'[1]Budgeting tool'!$R$104</definedName>
    <definedName name="amt_of_exhibits">'[1]Budgeting tool'!$R$92</definedName>
    <definedName name="amt_of_pub_cdrom_sales_to_mem">'[1]Budgeting tool'!$R$89</definedName>
    <definedName name="amt_of_pub_sales_from_bookbroker">'[1]Budgeting tool'!$R$87</definedName>
    <definedName name="amt_of_pub_sales_to_memb">'[1]Budgeting tool'!$R$85</definedName>
    <definedName name="amt_of_pubcdrom_sales_to_nonmem">'[1]Budgeting tool'!$R$90</definedName>
    <definedName name="amt_of_pubsales_to_nonmembers">'[1]Budgeting tool'!$R$86</definedName>
    <definedName name="amt_of_pubsales_to_pagecharges">'[1]Budgeting tool'!$R$88</definedName>
    <definedName name="amt_of_total_special_registration">'[1]Budgeting tool'!$R$61:$R$63</definedName>
    <definedName name="announcement">'[1]Budgeting tool'!$R$137</definedName>
    <definedName name="attendee_gifts">'[1]Budgeting tool'!$R$174</definedName>
    <definedName name="audio_visual">'[1]Budgeting tool'!$R$165</definedName>
    <definedName name="Audit_fees">'[1]Budgeting tool'!$R$200</definedName>
    <definedName name="Bank_fees">'[1]Budgeting tool'!$R$199</definedName>
    <definedName name="breakfast">'[1]Budgeting tool'!$R$181</definedName>
    <definedName name="breaks">'[1]Budgeting tool'!$R$184</definedName>
    <definedName name="call_for_papers">'[1]Budgeting tool'!$R$139</definedName>
    <definedName name="conf_adminis_other">'[1]Budgeting tool'!$R$211</definedName>
    <definedName name="conf_pub_proceedings">'[1]Budgeting tool'!$R$157</definedName>
    <definedName name="conf_pub_tech_digest">'[1]Budgeting tool'!$R$151</definedName>
    <definedName name="convention_center">'[1]Budgeting tool'!$R$170</definedName>
    <definedName name="credit_card_fees">'[1]Budgeting tool'!$R$198</definedName>
    <definedName name="dinner">'[1]Budgeting tool'!$R$183</definedName>
    <definedName name="external_general">'[1]Budgeting tool'!$R$129</definedName>
    <definedName name="external_promotion">'[1]Budgeting tool'!$R$128</definedName>
    <definedName name="fee_cdrom_members">'[1]Budgeting tool'!$Q$89</definedName>
    <definedName name="fee_cdrom_nonmemebrs">'[1]Budgeting tool'!$Q$90</definedName>
    <definedName name="fee_pagecharges">'[1]Budgeting tool'!$Q$88</definedName>
    <definedName name="fee_paper_ieee_book_broker">'[1]Budgeting tool'!$Q$87</definedName>
    <definedName name="fee_paper_member">'[1]Budgeting tool'!$Q$85</definedName>
    <definedName name="fee_paper_nonmember">'[1]Budgeting tool'!$Q$86</definedName>
    <definedName name="fees_exhibits">'[1]Budgeting tool'!$Q$94</definedName>
    <definedName name="final_program">'[1]Budgeting tool'!$R$141</definedName>
    <definedName name="first_call_for_papers">'[1]Budgeting tool'!$R$138</definedName>
    <definedName name="Freight_shipping">'[1]Budgeting tool'!$R$206</definedName>
    <definedName name="grant_G_and_A">'[1]Budgeting tool'!$R$207</definedName>
    <definedName name="hotel_gratuities">'[1]Budgeting tool'!$R$176</definedName>
    <definedName name="hotel_meeting_rooms">'[1]Budgeting tool'!$R$171</definedName>
    <definedName name="hotel_penalties">'[1]Budgeting tool'!$R$172</definedName>
    <definedName name="IEEE_SECT_ADVA_LOAN_REPAY">'[1]Budgeting tool'!$R$224</definedName>
    <definedName name="Ieee_section_advance_loans_budget">'[1]Budgeting tool'!$R$117</definedName>
    <definedName name="IEEE_SOC_ADV_LOAN_REPAYM">'[1]Budgeting tool'!$R$223</definedName>
    <definedName name="Ieee_society_advance_loans_budget">'[1]Budgeting tool'!$R$116</definedName>
    <definedName name="insurance">'[1]Budgeting tool'!$R$202</definedName>
    <definedName name="internal_general">'[1]Budgeting tool'!$R$127</definedName>
    <definedName name="internal_promotion">'[1]Budgeting tool'!$R$126</definedName>
    <definedName name="luncheons">'[1]Budgeting tool'!$R$182</definedName>
    <definedName name="meetings_confcalls">'[1]Budgeting tool'!$R$218</definedName>
    <definedName name="no_at_conf_nonmember">'[1]Budgeting tool'!$P$38:$P$41</definedName>
    <definedName name="no_at_conf_redrate">'[1]Budgeting tool'!$P$47:$P$50</definedName>
    <definedName name="no_of_exhibits">'[1]Budgeting tool'!$P$92</definedName>
    <definedName name="no_of_member_at_conference">'[1]Budgeting tool'!$P$29:$P$32</definedName>
    <definedName name="no_of_miniconf_symp_">'[1]Budgeting tool'!$P$65</definedName>
    <definedName name="no_of_pub_sales_to_memb">'[1]Budgeting tool'!$P$85</definedName>
    <definedName name="no_of_pub_sales_to_nonmem">'[1]Budgeting tool'!$P$86</definedName>
    <definedName name="no_of_pubcdrom_sales_to_mem">'[1]Budgeting tool'!$P$89</definedName>
    <definedName name="no_of_pubcdrom_sales_to_nonmem">'[1]Budgeting tool'!$P$90</definedName>
    <definedName name="no_of_pubsales_to_pagecharges">'[1]Budgeting tool'!$P$88</definedName>
    <definedName name="no_of_reg_lifemmeber_at_conf">'[1]Budgeting tool'!$P$56:$P$59</definedName>
    <definedName name="no_of_total_special_registration">'[1]Budgeting tool'!$P$61:$P$63</definedName>
    <definedName name="No_of_total_tutorial">'[1]Budgeting tool'!$P$76:$P$81</definedName>
    <definedName name="no_pub_sales_from_book_broker">'[1]Budgeting tool'!$P$87</definedName>
    <definedName name="number_of_lifemember_adv">'[1]Budgeting tool'!$P$52:$P$55</definedName>
    <definedName name="number_of_member_advance">'[1]Budgeting tool'!$P$25:$P$28</definedName>
    <definedName name="number_of_nonmember_advance">'[1]Budgeting tool'!$P$34:$P$37</definedName>
    <definedName name="number_of_reducerate_advance">'[1]Budgeting tool'!$P$43:$P$46</definedName>
    <definedName name="oc_attire">'[1]Budgeting tool'!$R$216</definedName>
    <definedName name="oc_tpc_gifts">'[1]Budgeting tool'!$R$215</definedName>
    <definedName name="office_supplies">'[1]Budgeting tool'!$R$205</definedName>
    <definedName name="Onsite_costs">'[1]Budgeting tool'!$R$148</definedName>
    <definedName name="onsite_temps">'[1]Budgeting tool'!$R$168</definedName>
    <definedName name="ops_room_equipment">'[1]Budgeting tool'!$R$166</definedName>
    <definedName name="other">'[1]Budgeting tool'!$R$219</definedName>
    <definedName name="other_F_and_B_act">'[1]Budgeting tool'!$R$185</definedName>
    <definedName name="other_miscellaneous_exp">'[1]Budgeting tool'!$R$226</definedName>
    <definedName name="other_prog_prod">'[1]Budgeting tool'!$R$193</definedName>
    <definedName name="Paper_review">'[1]Budgeting tool'!$R$194</definedName>
    <definedName name="Phone_fax">'[1]Budgeting tool'!$R$208</definedName>
    <definedName name="postage">'[1]Budgeting tool'!$R$204</definedName>
    <definedName name="printing_duplication">'[1]Budgeting tool'!$R$203</definedName>
    <definedName name="prog_speaker_fees">'[1]Budgeting tool'!$R$191</definedName>
    <definedName name="prog_speaker_travel">'[1]Budgeting tool'!$R$192</definedName>
    <definedName name="promo_other">'[1]Budgeting tool'!$R$143</definedName>
    <definedName name="reception">'[1]Budgeting tool'!$R$180</definedName>
    <definedName name="reg_exp">'[1]Budgeting tool'!$R$133</definedName>
    <definedName name="reg_fee_adv_mem">'[1]Budgeting tool'!$Q$25:$Q$28</definedName>
    <definedName name="reg_fees_adv_redrate">'[1]Budgeting tool'!$Q$43:$Q$46</definedName>
    <definedName name="reg_fees_advance_nonmember">'[1]Budgeting tool'!$Q$34:$Q$37</definedName>
    <definedName name="reg_fees_at_conf_redrate">'[1]Budgeting tool'!$Q$47:$Q$50</definedName>
    <definedName name="reg_fees_lifemember_advance">'[1]Budgeting tool'!$Q$52:$Q$55</definedName>
    <definedName name="reg_fees_mem_regular">'[1]Budgeting tool'!$Q$29:$Q$32</definedName>
    <definedName name="reg_fees_miniconf_symposium">'[1]Budgeting tool'!$Q$67:$Q$72</definedName>
    <definedName name="reg_fees_nonmember_regular">'[1]Budgeting tool'!$Q$38:$Q$41</definedName>
    <definedName name="reg_fees_other">'[1]Budgeting tool'!$Q$61:$Q$63</definedName>
    <definedName name="reg_fees_tutorial">'[1]Budgeting tool'!$Q$76:$Q$81</definedName>
    <definedName name="security">'[1]Budgeting tool'!$R$169</definedName>
    <definedName name="signage">'[1]Budgeting tool'!$R$167</definedName>
    <definedName name="special_speaker_travel">'[1]Budgeting tool'!$R$190</definedName>
    <definedName name="special_spk_fee">'[1]Budgeting tool'!$R$189</definedName>
    <definedName name="staff_travel">'[1]Budgeting tool'!$R$210</definedName>
    <definedName name="Total__other">'[2]Social Function'!#REF!</definedName>
    <definedName name="Total_administration">'[2]Social Function'!#REF!</definedName>
    <definedName name="Total_Committee">'[2]Social Function'!#REF!</definedName>
    <definedName name="Total_conf_pub_sales">'[2]Social Function'!#REF!</definedName>
    <definedName name="Total_Conf_Publ">'[2]Social Function'!#REF!</definedName>
    <definedName name="Total_exhibit_vendor">'[2]Social Function'!#REF!</definedName>
    <definedName name="Total_exhibits">'[2]Social Function'!#REF!</definedName>
    <definedName name="Total_loans">'[1]Budgeting tool'!$R$114</definedName>
    <definedName name="Total_local_arrangements">'[2]Social Function'!#REF!</definedName>
    <definedName name="Total_manag_srvcs">'[2]Social Function'!#REF!</definedName>
    <definedName name="total_miscellaneous">'[2]Social Function'!#REF!</definedName>
    <definedName name="total_outlays">'[2]Social Function'!#REF!</definedName>
    <definedName name="Total_promotion">'[2]Social Function'!#REF!</definedName>
    <definedName name="total_receipts">'[2]Social Function'!#REF!</definedName>
    <definedName name="Total_reg_exp">'[2]Social Function'!#REF!</definedName>
    <definedName name="Total_reg_fees">'[2]Social Function'!#REF!</definedName>
    <definedName name="Total_Soc_Func">'[2]Social Function'!#REF!</definedName>
    <definedName name="Total_social_event">'[2]Social Function'!#REF!</definedName>
    <definedName name="tours">'[1]Budgeting tool'!$R$173</definedName>
    <definedName name="transportation">'[1]Budgeting tool'!$R$175</definedName>
    <definedName name="travel">'[1]Budgeting tool'!$R$217</definedName>
    <definedName name="travel_grants_and_awards">'[1]Budgeting tool'!$R$201</definedName>
    <definedName name="VAT">'[1]Budgeting tool'!$R$225</definedName>
    <definedName name="vendor_program">'[1]Budgeting tool'!$R$147</definedName>
  </definedNames>
  <calcPr fullCalcOnLoad="1"/>
</workbook>
</file>

<file path=xl/sharedStrings.xml><?xml version="1.0" encoding="utf-8"?>
<sst xmlns="http://schemas.openxmlformats.org/spreadsheetml/2006/main" count="142" uniqueCount="133">
  <si>
    <t>In Advance-Members</t>
  </si>
  <si>
    <t>In Advance-Non-Members</t>
  </si>
  <si>
    <t>In Advance-Students</t>
  </si>
  <si>
    <t>In Advance-Retired</t>
  </si>
  <si>
    <t>At Conf.-Members</t>
  </si>
  <si>
    <t>At Conf.-Non-Members</t>
  </si>
  <si>
    <t>At Conf.-Students</t>
  </si>
  <si>
    <t>At Conf.-Retired</t>
  </si>
  <si>
    <t>Conference Publication Sales</t>
  </si>
  <si>
    <t>To Members</t>
  </si>
  <si>
    <t>To Non-Members</t>
  </si>
  <si>
    <t>To IEEE HQ</t>
  </si>
  <si>
    <t>Sunday Reception</t>
  </si>
  <si>
    <t>Banquet</t>
  </si>
  <si>
    <t>All Other Conf. Receipts</t>
  </si>
  <si>
    <t>Contributions</t>
  </si>
  <si>
    <t>Minicourse</t>
  </si>
  <si>
    <t>Bank Interest</t>
  </si>
  <si>
    <t>Total Conf. Income</t>
  </si>
  <si>
    <t>Total Receipts</t>
  </si>
  <si>
    <t>INCOME</t>
  </si>
  <si>
    <t>Promotions</t>
  </si>
  <si>
    <t>Printing/Program</t>
  </si>
  <si>
    <t>Mailing Costs</t>
  </si>
  <si>
    <t>Conf. Publications</t>
  </si>
  <si>
    <t>Printing/Abstract Book</t>
  </si>
  <si>
    <t>Shipping to Site and IEEE HQ</t>
  </si>
  <si>
    <t>Exhibits Expenses</t>
  </si>
  <si>
    <t>Exhibits Income</t>
  </si>
  <si>
    <t>Social Functions Income</t>
  </si>
  <si>
    <t>Social Functions Expenses</t>
  </si>
  <si>
    <t>Morning Coffee Break</t>
  </si>
  <si>
    <t>Afternoon Coffee Break</t>
  </si>
  <si>
    <t>Administrative</t>
  </si>
  <si>
    <t>Insurance and Bonding</t>
  </si>
  <si>
    <t>Meeting Planner</t>
  </si>
  <si>
    <t>Secretarial Services at Conf.</t>
  </si>
  <si>
    <t xml:space="preserve">AV Equipment Rental </t>
  </si>
  <si>
    <t>Telephone</t>
  </si>
  <si>
    <t>All Other Conf. Expenses</t>
  </si>
  <si>
    <t>EXCOM Travel</t>
  </si>
  <si>
    <t>ICOPS 2005 Org. Meeting</t>
  </si>
  <si>
    <t>Free IEEE memberships</t>
  </si>
  <si>
    <t>Credit Card Fees at Reg.</t>
  </si>
  <si>
    <t>Financial Audit</t>
  </si>
  <si>
    <t>Total Conference Expenses</t>
  </si>
  <si>
    <t>Total Outlays</t>
  </si>
  <si>
    <t>EXPENSES</t>
  </si>
  <si>
    <t xml:space="preserve">Minicouse </t>
  </si>
  <si>
    <t>IEEE Loan Repayment</t>
  </si>
  <si>
    <r>
      <t xml:space="preserve">        </t>
    </r>
    <r>
      <rPr>
        <b/>
        <sz val="10"/>
        <rFont val="Arial"/>
        <family val="2"/>
      </rPr>
      <t>TOTAL RECEIPTS</t>
    </r>
  </si>
  <si>
    <t>ICOPS 1999 / IEEE loan</t>
  </si>
  <si>
    <t xml:space="preserve">Additional IEEE Loan </t>
  </si>
  <si>
    <t>Speaker Honorarium</t>
  </si>
  <si>
    <t>Additional IEEE loan</t>
  </si>
  <si>
    <t>Gratuities</t>
  </si>
  <si>
    <t>Mailing Lists, Labels, etc.</t>
  </si>
  <si>
    <t>Printing/Call for Papers</t>
  </si>
  <si>
    <t>Graphic, Web-Site Designer, Other</t>
  </si>
  <si>
    <t>Author Kits Printing</t>
  </si>
  <si>
    <t>Security and Guard Services</t>
  </si>
  <si>
    <t>Other</t>
  </si>
  <si>
    <t>Misc. Materials and Supplies</t>
  </si>
  <si>
    <t>Registration Materials</t>
  </si>
  <si>
    <t>2004 IEEE ICOPS Actual Accounting</t>
  </si>
  <si>
    <t xml:space="preserve">                 Actual</t>
  </si>
  <si>
    <t xml:space="preserve">                   Actual </t>
  </si>
  <si>
    <t>Curent Balance</t>
  </si>
  <si>
    <t>Cocktails at EXCOM meeting at 2004 ICOPS</t>
  </si>
  <si>
    <t>Cocktails at EXCOM meeting at 2004 APS</t>
  </si>
  <si>
    <t>Phelps Award</t>
  </si>
  <si>
    <t>Student Travel Grants</t>
  </si>
  <si>
    <t>PSAC Award</t>
  </si>
  <si>
    <t>Student Travel Support</t>
  </si>
  <si>
    <t xml:space="preserve">Waived fee - Student Volunteers </t>
  </si>
  <si>
    <t xml:space="preserve">Waived fee - Minicourse Organizer </t>
  </si>
  <si>
    <t>Registration Fees(1)</t>
  </si>
  <si>
    <t>Women in Plasma Science Reception</t>
  </si>
  <si>
    <t>Coalition of Plasma Scientists Reception</t>
  </si>
  <si>
    <t>Power Modulator Conference Luncheon</t>
  </si>
  <si>
    <t xml:space="preserve">VIP Luncheon </t>
  </si>
  <si>
    <t>Meals(3)/snacks for EXCOM at 2004 ICOPS (ICOPS operations)</t>
  </si>
  <si>
    <t>Meals(3)/snacks for EXCOM at 2004 APS (ICOPS operations)</t>
  </si>
  <si>
    <t>Trans on Plasma Sci / Invited and Plenary Speaker Luncheon</t>
  </si>
  <si>
    <t>Transportation, parking at hotel</t>
  </si>
  <si>
    <t>Staff Meetings</t>
  </si>
  <si>
    <t xml:space="preserve">      TOTAL OUTLAYS </t>
  </si>
  <si>
    <r>
      <t xml:space="preserve">         </t>
    </r>
    <r>
      <rPr>
        <b/>
        <sz val="10"/>
        <rFont val="Arial"/>
        <family val="2"/>
      </rPr>
      <t>BALANCE</t>
    </r>
  </si>
  <si>
    <t xml:space="preserve">              Current Totals</t>
  </si>
  <si>
    <t>Cancellation fees(1)</t>
  </si>
  <si>
    <t xml:space="preserve">         (2) provided as part of conference management fee</t>
  </si>
  <si>
    <t xml:space="preserve">  9.1.1</t>
  </si>
  <si>
    <t xml:space="preserve">  9.1.2</t>
  </si>
  <si>
    <t xml:space="preserve">  9.1.3</t>
  </si>
  <si>
    <t xml:space="preserve">  9.2.1</t>
  </si>
  <si>
    <t xml:space="preserve">  9.2.2</t>
  </si>
  <si>
    <t xml:space="preserve">  9.2.3</t>
  </si>
  <si>
    <t xml:space="preserve">  9.2.4</t>
  </si>
  <si>
    <t xml:space="preserve">  Companions</t>
  </si>
  <si>
    <t xml:space="preserve">  Students</t>
  </si>
  <si>
    <t xml:space="preserve">  Retirees</t>
  </si>
  <si>
    <t xml:space="preserve">  Regular registrants</t>
  </si>
  <si>
    <t xml:space="preserve">  10.1.4</t>
  </si>
  <si>
    <t xml:space="preserve">  SNL</t>
  </si>
  <si>
    <t xml:space="preserve">  LANL</t>
  </si>
  <si>
    <t xml:space="preserve">  LLNL</t>
  </si>
  <si>
    <t xml:space="preserve">  DOE</t>
  </si>
  <si>
    <t xml:space="preserve">  NRL</t>
  </si>
  <si>
    <t xml:space="preserve">  ARO</t>
  </si>
  <si>
    <t xml:space="preserve">  AFOSR</t>
  </si>
  <si>
    <t xml:space="preserve">  DTRA</t>
  </si>
  <si>
    <t xml:space="preserve">  Titan/PSD</t>
  </si>
  <si>
    <t xml:space="preserve">  NSRC</t>
  </si>
  <si>
    <t xml:space="preserve">  AASC</t>
  </si>
  <si>
    <t xml:space="preserve">  HYTECH</t>
  </si>
  <si>
    <t xml:space="preserve">  MRC</t>
  </si>
  <si>
    <t xml:space="preserve">  NumerEx</t>
  </si>
  <si>
    <t xml:space="preserve">  Regular attendees</t>
  </si>
  <si>
    <t xml:space="preserve">  Student attendees</t>
  </si>
  <si>
    <t xml:space="preserve">  Bob Commisso to open bank acct</t>
  </si>
  <si>
    <t xml:space="preserve">  CPS</t>
  </si>
  <si>
    <t xml:space="preserve">  PMC</t>
  </si>
  <si>
    <t xml:space="preserve">  AFOSR (via UNM)</t>
  </si>
  <si>
    <t xml:space="preserve">  Phelps award</t>
  </si>
  <si>
    <t xml:space="preserve">  NSF</t>
  </si>
  <si>
    <t>Office Equipment Rental</t>
  </si>
  <si>
    <t xml:space="preserve">  Poster Boards</t>
  </si>
  <si>
    <t xml:space="preserve">  Other</t>
  </si>
  <si>
    <t xml:space="preserve">  Name Badges(2)</t>
  </si>
  <si>
    <t xml:space="preserve">  Registration Forms, Tickets(2)</t>
  </si>
  <si>
    <t xml:space="preserve">  Signs, etc.</t>
  </si>
  <si>
    <t>Note: (1) total number of registrants does not include cancellations but does inculde those whose fees were waived</t>
  </si>
  <si>
    <t>rtr.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</si>
</sst>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"/>
    <numFmt numFmtId="166" formatCode="mmmm\ d\,\ yyyy"/>
    <numFmt numFmtId="167" formatCode="dd\-mmm\-yy"/>
    <numFmt numFmtId="168" formatCode="[$-409]dddd\,\ mmmm\ dd\,\ yyyy"/>
    <numFmt numFmtId="169" formatCode="[$-409]dd\-mmm\-yy;@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[$-409]d\-mmm\-yy;@"/>
    <numFmt numFmtId="174" formatCode="0.0"/>
    <numFmt numFmtId="175" formatCode="mm/dd/yy;@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&quot;$&quot;* #,##0.000_);_(&quot;$&quot;* \(#,##0.000\);_(&quot;$&quot;* &quot;-&quot;??_);_(@_)"/>
    <numFmt numFmtId="179" formatCode="_(&quot;$&quot;* #,##0.0000_);_(&quot;$&quot;* \(#,##0.0000\);_(&quot;$&quot;* &quot;-&quot;??_);_(@_)"/>
    <numFmt numFmtId="180" formatCode="mmm\-yyyy"/>
    <numFmt numFmtId="181" formatCode="[$-409]mmmm\ d\,\ yyyy;@"/>
    <numFmt numFmtId="182" formatCode="0.000"/>
    <numFmt numFmtId="183" formatCode="0.0000"/>
    <numFmt numFmtId="184" formatCode="0.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;\-#,##0.00"/>
    <numFmt numFmtId="190" formatCode="#,##0.0#%;\-#,##0.0#%"/>
    <numFmt numFmtId="191" formatCode="&quot;$&quot;#,##0"/>
    <numFmt numFmtId="192" formatCode="&quot;$&quot;#,##0.0_);[Red]\(&quot;$&quot;#,##0.0\)"/>
    <numFmt numFmtId="193" formatCode="&quot;$&quot;#,##0.000_);[Red]\(&quot;$&quot;#,##0.000\)"/>
    <numFmt numFmtId="194" formatCode="General_)"/>
    <numFmt numFmtId="195" formatCode="0.000_)"/>
    <numFmt numFmtId="196" formatCode="0.00_)"/>
    <numFmt numFmtId="197" formatCode="00000"/>
    <numFmt numFmtId="198" formatCode="0_);\(0\)"/>
    <numFmt numFmtId="199" formatCode="#,##0.000_);\(#,##0.000\)"/>
    <numFmt numFmtId="200" formatCode="0.000000"/>
    <numFmt numFmtId="201" formatCode="0.0000000"/>
    <numFmt numFmtId="202" formatCode="0.0%"/>
    <numFmt numFmtId="203" formatCode="_(* #,##0.000_);_(* \(#,##0.000\);_(* &quot;-&quot;?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>
      <alignment horizontal="center"/>
    </xf>
    <xf numFmtId="3" fontId="1" fillId="33" borderId="12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3" fontId="1" fillId="33" borderId="14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3" fontId="0" fillId="0" borderId="18" xfId="0" applyNumberFormat="1" applyBorder="1" applyAlignment="1">
      <alignment/>
    </xf>
    <xf numFmtId="0" fontId="0" fillId="0" borderId="16" xfId="0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44" fontId="1" fillId="0" borderId="0" xfId="0" applyNumberFormat="1" applyFont="1" applyAlignment="1">
      <alignment/>
    </xf>
    <xf numFmtId="0" fontId="1" fillId="33" borderId="24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44" fontId="0" fillId="0" borderId="13" xfId="0" applyNumberFormat="1" applyBorder="1" applyAlignment="1">
      <alignment/>
    </xf>
    <xf numFmtId="44" fontId="1" fillId="33" borderId="10" xfId="0" applyNumberFormat="1" applyFont="1" applyFill="1" applyBorder="1" applyAlignment="1">
      <alignment/>
    </xf>
    <xf numFmtId="44" fontId="1" fillId="33" borderId="13" xfId="0" applyNumberFormat="1" applyFont="1" applyFill="1" applyBorder="1" applyAlignment="1">
      <alignment/>
    </xf>
    <xf numFmtId="44" fontId="0" fillId="0" borderId="10" xfId="0" applyNumberFormat="1" applyBorder="1" applyAlignment="1">
      <alignment/>
    </xf>
    <xf numFmtId="44" fontId="0" fillId="0" borderId="10" xfId="0" applyNumberFormat="1" applyFont="1" applyFill="1" applyBorder="1" applyAlignment="1">
      <alignment/>
    </xf>
    <xf numFmtId="44" fontId="0" fillId="0" borderId="13" xfId="0" applyNumberFormat="1" applyFont="1" applyFill="1" applyBorder="1" applyAlignment="1">
      <alignment/>
    </xf>
    <xf numFmtId="44" fontId="0" fillId="0" borderId="13" xfId="0" applyNumberFormat="1" applyFill="1" applyBorder="1" applyAlignment="1">
      <alignment/>
    </xf>
    <xf numFmtId="44" fontId="0" fillId="0" borderId="26" xfId="0" applyNumberFormat="1" applyBorder="1" applyAlignment="1">
      <alignment/>
    </xf>
    <xf numFmtId="44" fontId="0" fillId="0" borderId="21" xfId="0" applyNumberFormat="1" applyBorder="1" applyAlignment="1">
      <alignment/>
    </xf>
    <xf numFmtId="44" fontId="1" fillId="33" borderId="26" xfId="0" applyNumberFormat="1" applyFont="1" applyFill="1" applyBorder="1" applyAlignment="1">
      <alignment/>
    </xf>
    <xf numFmtId="44" fontId="1" fillId="33" borderId="21" xfId="0" applyNumberFormat="1" applyFont="1" applyFill="1" applyBorder="1" applyAlignment="1">
      <alignment/>
    </xf>
    <xf numFmtId="44" fontId="1" fillId="33" borderId="27" xfId="0" applyNumberFormat="1" applyFont="1" applyFill="1" applyBorder="1" applyAlignment="1">
      <alignment/>
    </xf>
    <xf numFmtId="44" fontId="0" fillId="0" borderId="27" xfId="0" applyNumberFormat="1" applyBorder="1" applyAlignment="1">
      <alignment/>
    </xf>
    <xf numFmtId="44" fontId="0" fillId="0" borderId="0" xfId="0" applyNumberFormat="1" applyAlignment="1">
      <alignment/>
    </xf>
    <xf numFmtId="44" fontId="1" fillId="33" borderId="28" xfId="0" applyNumberFormat="1" applyFont="1" applyFill="1" applyBorder="1" applyAlignment="1">
      <alignment/>
    </xf>
    <xf numFmtId="44" fontId="1" fillId="33" borderId="29" xfId="0" applyNumberFormat="1" applyFont="1" applyFill="1" applyBorder="1" applyAlignment="1">
      <alignment/>
    </xf>
    <xf numFmtId="44" fontId="0" fillId="0" borderId="28" xfId="0" applyNumberFormat="1" applyBorder="1" applyAlignment="1">
      <alignment/>
    </xf>
    <xf numFmtId="44" fontId="0" fillId="0" borderId="29" xfId="0" applyNumberFormat="1" applyBorder="1" applyAlignment="1">
      <alignment/>
    </xf>
    <xf numFmtId="0" fontId="1" fillId="34" borderId="30" xfId="0" applyFont="1" applyFill="1" applyBorder="1" applyAlignment="1">
      <alignment/>
    </xf>
    <xf numFmtId="0" fontId="0" fillId="34" borderId="31" xfId="0" applyFill="1" applyBorder="1" applyAlignment="1">
      <alignment/>
    </xf>
    <xf numFmtId="44" fontId="0" fillId="34" borderId="32" xfId="0" applyNumberFormat="1" applyFill="1" applyBorder="1" applyAlignment="1">
      <alignment/>
    </xf>
    <xf numFmtId="0" fontId="1" fillId="34" borderId="33" xfId="0" applyFont="1" applyFill="1" applyBorder="1" applyAlignment="1">
      <alignment/>
    </xf>
    <xf numFmtId="0" fontId="0" fillId="34" borderId="0" xfId="0" applyFill="1" applyBorder="1" applyAlignment="1">
      <alignment/>
    </xf>
    <xf numFmtId="44" fontId="0" fillId="34" borderId="34" xfId="0" applyNumberFormat="1" applyFill="1" applyBorder="1" applyAlignment="1">
      <alignment/>
    </xf>
    <xf numFmtId="0" fontId="1" fillId="34" borderId="35" xfId="0" applyFont="1" applyFill="1" applyBorder="1" applyAlignment="1">
      <alignment/>
    </xf>
    <xf numFmtId="0" fontId="0" fillId="34" borderId="36" xfId="0" applyFill="1" applyBorder="1" applyAlignment="1">
      <alignment/>
    </xf>
    <xf numFmtId="44" fontId="0" fillId="34" borderId="37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3" fillId="0" borderId="16" xfId="0" applyFont="1" applyBorder="1" applyAlignment="1">
      <alignment/>
    </xf>
    <xf numFmtId="3" fontId="1" fillId="33" borderId="11" xfId="0" applyNumberFormat="1" applyFont="1" applyFill="1" applyBorder="1" applyAlignment="1">
      <alignment/>
    </xf>
    <xf numFmtId="44" fontId="1" fillId="33" borderId="38" xfId="0" applyNumberFormat="1" applyFont="1" applyFill="1" applyBorder="1" applyAlignment="1">
      <alignment/>
    </xf>
    <xf numFmtId="44" fontId="1" fillId="33" borderId="39" xfId="0" applyNumberFormat="1" applyFont="1" applyFill="1" applyBorder="1" applyAlignment="1">
      <alignment/>
    </xf>
    <xf numFmtId="0" fontId="0" fillId="0" borderId="40" xfId="0" applyBorder="1" applyAlignment="1">
      <alignment horizontal="left"/>
    </xf>
    <xf numFmtId="0" fontId="0" fillId="0" borderId="29" xfId="0" applyFill="1" applyBorder="1" applyAlignment="1">
      <alignment/>
    </xf>
    <xf numFmtId="37" fontId="0" fillId="0" borderId="27" xfId="0" applyNumberFormat="1" applyBorder="1" applyAlignment="1">
      <alignment/>
    </xf>
    <xf numFmtId="0" fontId="0" fillId="0" borderId="20" xfId="0" applyFill="1" applyBorder="1" applyAlignment="1">
      <alignment/>
    </xf>
    <xf numFmtId="44" fontId="0" fillId="0" borderId="10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69</xdr:row>
      <xdr:rowOff>85725</xdr:rowOff>
    </xdr:from>
    <xdr:to>
      <xdr:col>6</xdr:col>
      <xdr:colOff>809625</xdr:colOff>
      <xdr:row>69</xdr:row>
      <xdr:rowOff>85725</xdr:rowOff>
    </xdr:to>
    <xdr:sp>
      <xdr:nvSpPr>
        <xdr:cNvPr id="1" name="Line 2"/>
        <xdr:cNvSpPr>
          <a:spLocks/>
        </xdr:cNvSpPr>
      </xdr:nvSpPr>
      <xdr:spPr>
        <a:xfrm>
          <a:off x="1209675" y="11353800"/>
          <a:ext cx="49720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73</xdr:row>
      <xdr:rowOff>85725</xdr:rowOff>
    </xdr:from>
    <xdr:to>
      <xdr:col>6</xdr:col>
      <xdr:colOff>809625</xdr:colOff>
      <xdr:row>73</xdr:row>
      <xdr:rowOff>85725</xdr:rowOff>
    </xdr:to>
    <xdr:sp>
      <xdr:nvSpPr>
        <xdr:cNvPr id="2" name="Line 3"/>
        <xdr:cNvSpPr>
          <a:spLocks/>
        </xdr:cNvSpPr>
      </xdr:nvSpPr>
      <xdr:spPr>
        <a:xfrm>
          <a:off x="1219200" y="12001500"/>
          <a:ext cx="4962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</xdr:row>
      <xdr:rowOff>114300</xdr:rowOff>
    </xdr:from>
    <xdr:to>
      <xdr:col>6</xdr:col>
      <xdr:colOff>295275</xdr:colOff>
      <xdr:row>6</xdr:row>
      <xdr:rowOff>47625</xdr:rowOff>
    </xdr:to>
    <xdr:sp>
      <xdr:nvSpPr>
        <xdr:cNvPr id="3" name="Rectangle 4"/>
        <xdr:cNvSpPr>
          <a:spLocks/>
        </xdr:cNvSpPr>
      </xdr:nvSpPr>
      <xdr:spPr>
        <a:xfrm>
          <a:off x="1238250" y="314325"/>
          <a:ext cx="4429125" cy="7810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69</xdr:row>
      <xdr:rowOff>85725</xdr:rowOff>
    </xdr:from>
    <xdr:to>
      <xdr:col>13</xdr:col>
      <xdr:colOff>0</xdr:colOff>
      <xdr:row>69</xdr:row>
      <xdr:rowOff>85725</xdr:rowOff>
    </xdr:to>
    <xdr:sp>
      <xdr:nvSpPr>
        <xdr:cNvPr id="4" name="Line 5"/>
        <xdr:cNvSpPr>
          <a:spLocks/>
        </xdr:cNvSpPr>
      </xdr:nvSpPr>
      <xdr:spPr>
        <a:xfrm>
          <a:off x="7058025" y="11353800"/>
          <a:ext cx="64103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5</xdr:row>
      <xdr:rowOff>9525</xdr:rowOff>
    </xdr:from>
    <xdr:to>
      <xdr:col>6</xdr:col>
      <xdr:colOff>114300</xdr:colOff>
      <xdr:row>5</xdr:row>
      <xdr:rowOff>9525</xdr:rowOff>
    </xdr:to>
    <xdr:sp>
      <xdr:nvSpPr>
        <xdr:cNvPr id="5" name="Line 8"/>
        <xdr:cNvSpPr>
          <a:spLocks/>
        </xdr:cNvSpPr>
      </xdr:nvSpPr>
      <xdr:spPr>
        <a:xfrm>
          <a:off x="1400175" y="857250"/>
          <a:ext cx="408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73</xdr:row>
      <xdr:rowOff>85725</xdr:rowOff>
    </xdr:from>
    <xdr:to>
      <xdr:col>13</xdr:col>
      <xdr:colOff>0</xdr:colOff>
      <xdr:row>73</xdr:row>
      <xdr:rowOff>85725</xdr:rowOff>
    </xdr:to>
    <xdr:sp>
      <xdr:nvSpPr>
        <xdr:cNvPr id="6" name="Line 11"/>
        <xdr:cNvSpPr>
          <a:spLocks/>
        </xdr:cNvSpPr>
      </xdr:nvSpPr>
      <xdr:spPr>
        <a:xfrm>
          <a:off x="7048500" y="12001500"/>
          <a:ext cx="6419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eee.org/organizations/tab/budgeting_too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thoffman\LOCALS~1\Temp\notesC9812B\~943084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padilla\LOCALS~1\Temp\notesC9812B\COMPUTER%20SOCIETY%20-%20Spreadsheet%20--SWTW04TMRF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"/>
      <sheetName val="Budgeting tool"/>
      <sheetName val="Summary Financial Report Forms"/>
    </sheetNames>
    <sheetDataSet>
      <sheetData sheetId="1">
        <row r="25">
          <cell r="P25">
            <v>0</v>
          </cell>
          <cell r="Q25">
            <v>0</v>
          </cell>
          <cell r="R25">
            <v>0</v>
          </cell>
        </row>
        <row r="26">
          <cell r="P26">
            <v>0</v>
          </cell>
          <cell r="Q26">
            <v>0</v>
          </cell>
          <cell r="R26">
            <v>0</v>
          </cell>
        </row>
        <row r="27">
          <cell r="P27">
            <v>0</v>
          </cell>
          <cell r="Q27">
            <v>0</v>
          </cell>
          <cell r="R27">
            <v>0</v>
          </cell>
        </row>
        <row r="28">
          <cell r="P28">
            <v>0</v>
          </cell>
          <cell r="Q28">
            <v>0</v>
          </cell>
          <cell r="R28">
            <v>0</v>
          </cell>
        </row>
        <row r="29">
          <cell r="P29">
            <v>0</v>
          </cell>
          <cell r="Q29">
            <v>0</v>
          </cell>
          <cell r="R29">
            <v>0</v>
          </cell>
        </row>
        <row r="30">
          <cell r="P30">
            <v>0</v>
          </cell>
          <cell r="Q30">
            <v>0</v>
          </cell>
          <cell r="R30">
            <v>0</v>
          </cell>
        </row>
        <row r="31">
          <cell r="P31">
            <v>0</v>
          </cell>
          <cell r="Q31">
            <v>0</v>
          </cell>
          <cell r="R31">
            <v>0</v>
          </cell>
        </row>
        <row r="32">
          <cell r="P32">
            <v>0</v>
          </cell>
          <cell r="Q32">
            <v>0</v>
          </cell>
          <cell r="R32">
            <v>0</v>
          </cell>
        </row>
        <row r="34">
          <cell r="P34">
            <v>0</v>
          </cell>
          <cell r="Q34">
            <v>0</v>
          </cell>
          <cell r="R34">
            <v>0</v>
          </cell>
        </row>
        <row r="35">
          <cell r="P35">
            <v>0</v>
          </cell>
          <cell r="Q35">
            <v>0</v>
          </cell>
          <cell r="R35">
            <v>0</v>
          </cell>
        </row>
        <row r="36">
          <cell r="P36">
            <v>0</v>
          </cell>
          <cell r="Q36">
            <v>0</v>
          </cell>
          <cell r="R36">
            <v>0</v>
          </cell>
        </row>
        <row r="37">
          <cell r="P37">
            <v>0</v>
          </cell>
          <cell r="Q37">
            <v>0</v>
          </cell>
          <cell r="R37">
            <v>0</v>
          </cell>
        </row>
        <row r="38">
          <cell r="P38">
            <v>0</v>
          </cell>
          <cell r="Q38">
            <v>0</v>
          </cell>
          <cell r="R38">
            <v>0</v>
          </cell>
        </row>
        <row r="39">
          <cell r="P39">
            <v>0</v>
          </cell>
          <cell r="Q39">
            <v>0</v>
          </cell>
          <cell r="R39">
            <v>0</v>
          </cell>
        </row>
        <row r="40">
          <cell r="P40">
            <v>0</v>
          </cell>
          <cell r="Q40">
            <v>0</v>
          </cell>
          <cell r="R40">
            <v>0</v>
          </cell>
        </row>
        <row r="41">
          <cell r="P41">
            <v>0</v>
          </cell>
          <cell r="Q41">
            <v>0</v>
          </cell>
          <cell r="R41">
            <v>0</v>
          </cell>
        </row>
        <row r="43">
          <cell r="P43">
            <v>0</v>
          </cell>
          <cell r="Q43">
            <v>0</v>
          </cell>
          <cell r="R43">
            <v>0</v>
          </cell>
        </row>
        <row r="44">
          <cell r="P44">
            <v>0</v>
          </cell>
          <cell r="Q44">
            <v>0</v>
          </cell>
          <cell r="R44">
            <v>0</v>
          </cell>
        </row>
        <row r="45">
          <cell r="P45">
            <v>0</v>
          </cell>
          <cell r="Q45">
            <v>0</v>
          </cell>
          <cell r="R45">
            <v>0</v>
          </cell>
        </row>
        <row r="46">
          <cell r="P46">
            <v>0</v>
          </cell>
          <cell r="Q46">
            <v>0</v>
          </cell>
          <cell r="R46">
            <v>0</v>
          </cell>
        </row>
        <row r="47">
          <cell r="P47">
            <v>0</v>
          </cell>
          <cell r="Q47">
            <v>0</v>
          </cell>
        </row>
        <row r="48">
          <cell r="P48">
            <v>0</v>
          </cell>
          <cell r="Q48">
            <v>0</v>
          </cell>
        </row>
        <row r="49">
          <cell r="P49">
            <v>0</v>
          </cell>
          <cell r="Q49">
            <v>0</v>
          </cell>
        </row>
        <row r="50">
          <cell r="P50">
            <v>0</v>
          </cell>
          <cell r="Q50">
            <v>0</v>
          </cell>
        </row>
        <row r="52">
          <cell r="P52">
            <v>0</v>
          </cell>
          <cell r="Q52">
            <v>0</v>
          </cell>
          <cell r="R52">
            <v>0</v>
          </cell>
        </row>
        <row r="53">
          <cell r="P53">
            <v>0</v>
          </cell>
          <cell r="Q53">
            <v>0</v>
          </cell>
          <cell r="R53">
            <v>0</v>
          </cell>
        </row>
        <row r="54">
          <cell r="P54">
            <v>0</v>
          </cell>
          <cell r="Q54">
            <v>0</v>
          </cell>
          <cell r="R54">
            <v>0</v>
          </cell>
        </row>
        <row r="55">
          <cell r="P55">
            <v>0</v>
          </cell>
          <cell r="Q55">
            <v>0</v>
          </cell>
          <cell r="R55">
            <v>0</v>
          </cell>
        </row>
        <row r="56">
          <cell r="P56">
            <v>0</v>
          </cell>
        </row>
        <row r="57">
          <cell r="P57">
            <v>0</v>
          </cell>
        </row>
        <row r="58">
          <cell r="P58">
            <v>0</v>
          </cell>
        </row>
        <row r="59">
          <cell r="P59">
            <v>0</v>
          </cell>
        </row>
        <row r="61">
          <cell r="P61">
            <v>0</v>
          </cell>
          <cell r="Q61">
            <v>0</v>
          </cell>
          <cell r="R61">
            <v>0</v>
          </cell>
        </row>
        <row r="62">
          <cell r="P62">
            <v>0</v>
          </cell>
          <cell r="Q62">
            <v>0</v>
          </cell>
          <cell r="R62">
            <v>0</v>
          </cell>
        </row>
        <row r="63">
          <cell r="P63">
            <v>0</v>
          </cell>
          <cell r="Q63">
            <v>0</v>
          </cell>
          <cell r="R63">
            <v>0</v>
          </cell>
        </row>
        <row r="65">
          <cell r="P65">
            <v>0</v>
          </cell>
          <cell r="R65">
            <v>0</v>
          </cell>
        </row>
        <row r="67">
          <cell r="Q67">
            <v>0</v>
          </cell>
        </row>
        <row r="68">
          <cell r="Q68">
            <v>0</v>
          </cell>
        </row>
        <row r="69">
          <cell r="Q69">
            <v>0</v>
          </cell>
        </row>
        <row r="70">
          <cell r="Q70">
            <v>0</v>
          </cell>
        </row>
        <row r="71">
          <cell r="Q71">
            <v>0</v>
          </cell>
        </row>
        <row r="72">
          <cell r="Q72">
            <v>0</v>
          </cell>
        </row>
        <row r="76">
          <cell r="P76">
            <v>0</v>
          </cell>
          <cell r="Q76">
            <v>0</v>
          </cell>
          <cell r="R76">
            <v>0</v>
          </cell>
        </row>
        <row r="77">
          <cell r="P77">
            <v>0</v>
          </cell>
          <cell r="Q77">
            <v>0</v>
          </cell>
          <cell r="R77">
            <v>0</v>
          </cell>
        </row>
        <row r="78">
          <cell r="P78">
            <v>0</v>
          </cell>
          <cell r="Q78">
            <v>0</v>
          </cell>
          <cell r="R78">
            <v>0</v>
          </cell>
        </row>
        <row r="79">
          <cell r="P79">
            <v>0</v>
          </cell>
          <cell r="Q79">
            <v>0</v>
          </cell>
          <cell r="R79">
            <v>0</v>
          </cell>
        </row>
        <row r="80">
          <cell r="P80">
            <v>0</v>
          </cell>
          <cell r="Q80">
            <v>0</v>
          </cell>
          <cell r="R80">
            <v>0</v>
          </cell>
        </row>
        <row r="81">
          <cell r="P81">
            <v>0</v>
          </cell>
          <cell r="Q81">
            <v>0</v>
          </cell>
          <cell r="R81">
            <v>0</v>
          </cell>
        </row>
        <row r="85">
          <cell r="P85">
            <v>0</v>
          </cell>
          <cell r="Q85">
            <v>0</v>
          </cell>
          <cell r="R85">
            <v>0</v>
          </cell>
        </row>
        <row r="86">
          <cell r="P86">
            <v>0</v>
          </cell>
          <cell r="Q86">
            <v>0</v>
          </cell>
          <cell r="R86">
            <v>0</v>
          </cell>
        </row>
        <row r="87">
          <cell r="P87">
            <v>0</v>
          </cell>
          <cell r="Q87">
            <v>0</v>
          </cell>
          <cell r="R87">
            <v>0</v>
          </cell>
        </row>
        <row r="88">
          <cell r="P88">
            <v>0</v>
          </cell>
          <cell r="Q88">
            <v>0</v>
          </cell>
          <cell r="R88">
            <v>0</v>
          </cell>
        </row>
        <row r="89">
          <cell r="P89">
            <v>0</v>
          </cell>
          <cell r="Q89">
            <v>0</v>
          </cell>
          <cell r="R89">
            <v>0</v>
          </cell>
        </row>
        <row r="90">
          <cell r="P90">
            <v>0</v>
          </cell>
          <cell r="Q90">
            <v>0</v>
          </cell>
          <cell r="R90">
            <v>0</v>
          </cell>
        </row>
        <row r="92">
          <cell r="P92">
            <v>0</v>
          </cell>
          <cell r="R92">
            <v>0</v>
          </cell>
        </row>
        <row r="94">
          <cell r="Q94">
            <v>0</v>
          </cell>
        </row>
        <row r="96">
          <cell r="R96">
            <v>0</v>
          </cell>
        </row>
        <row r="100">
          <cell r="R100">
            <v>0</v>
          </cell>
        </row>
        <row r="104">
          <cell r="R104">
            <v>0</v>
          </cell>
        </row>
        <row r="110">
          <cell r="R110">
            <v>0</v>
          </cell>
        </row>
        <row r="114">
          <cell r="R114">
            <v>0</v>
          </cell>
        </row>
        <row r="116">
          <cell r="R116">
            <v>0</v>
          </cell>
        </row>
        <row r="117">
          <cell r="R117">
            <v>0</v>
          </cell>
        </row>
        <row r="126">
          <cell r="R126">
            <v>0</v>
          </cell>
        </row>
        <row r="127">
          <cell r="R127">
            <v>0</v>
          </cell>
        </row>
        <row r="128">
          <cell r="R128">
            <v>0</v>
          </cell>
        </row>
        <row r="129">
          <cell r="R129">
            <v>0</v>
          </cell>
        </row>
        <row r="133">
          <cell r="R133">
            <v>0</v>
          </cell>
        </row>
        <row r="137">
          <cell r="R137">
            <v>0</v>
          </cell>
        </row>
        <row r="138">
          <cell r="R138">
            <v>0</v>
          </cell>
        </row>
        <row r="139">
          <cell r="R139">
            <v>0</v>
          </cell>
        </row>
        <row r="140">
          <cell r="R140">
            <v>0</v>
          </cell>
        </row>
        <row r="141">
          <cell r="R141">
            <v>0</v>
          </cell>
        </row>
        <row r="142">
          <cell r="R142">
            <v>0</v>
          </cell>
        </row>
        <row r="143">
          <cell r="R143">
            <v>0</v>
          </cell>
        </row>
        <row r="147">
          <cell r="R147">
            <v>0</v>
          </cell>
        </row>
        <row r="148">
          <cell r="R148">
            <v>0</v>
          </cell>
        </row>
        <row r="151">
          <cell r="R151">
            <v>0</v>
          </cell>
        </row>
        <row r="157">
          <cell r="R157">
            <v>0</v>
          </cell>
        </row>
        <row r="165">
          <cell r="R165">
            <v>0</v>
          </cell>
        </row>
        <row r="166">
          <cell r="R166">
            <v>0</v>
          </cell>
        </row>
        <row r="167">
          <cell r="R167">
            <v>0</v>
          </cell>
        </row>
        <row r="168">
          <cell r="R168">
            <v>0</v>
          </cell>
        </row>
        <row r="169">
          <cell r="R169">
            <v>0</v>
          </cell>
        </row>
        <row r="170">
          <cell r="R170">
            <v>0</v>
          </cell>
        </row>
        <row r="171">
          <cell r="R171">
            <v>0</v>
          </cell>
        </row>
        <row r="172">
          <cell r="R172">
            <v>0</v>
          </cell>
        </row>
        <row r="173">
          <cell r="R173">
            <v>0</v>
          </cell>
        </row>
        <row r="174">
          <cell r="R174">
            <v>0</v>
          </cell>
        </row>
        <row r="175">
          <cell r="R175">
            <v>0</v>
          </cell>
        </row>
        <row r="176">
          <cell r="R176">
            <v>0</v>
          </cell>
        </row>
        <row r="180">
          <cell r="R180">
            <v>0</v>
          </cell>
        </row>
        <row r="181">
          <cell r="R181">
            <v>0</v>
          </cell>
        </row>
        <row r="182">
          <cell r="R182">
            <v>0</v>
          </cell>
        </row>
        <row r="183">
          <cell r="R183">
            <v>0</v>
          </cell>
        </row>
        <row r="184">
          <cell r="R184">
            <v>0</v>
          </cell>
        </row>
        <row r="185">
          <cell r="R185">
            <v>0</v>
          </cell>
        </row>
        <row r="189">
          <cell r="R189">
            <v>0</v>
          </cell>
        </row>
        <row r="190">
          <cell r="R190">
            <v>0</v>
          </cell>
        </row>
        <row r="191">
          <cell r="R191">
            <v>0</v>
          </cell>
        </row>
        <row r="192">
          <cell r="R192">
            <v>0</v>
          </cell>
        </row>
        <row r="193">
          <cell r="R193">
            <v>0</v>
          </cell>
        </row>
        <row r="194">
          <cell r="R194">
            <v>0</v>
          </cell>
        </row>
        <row r="198">
          <cell r="R198">
            <v>0</v>
          </cell>
        </row>
        <row r="199">
          <cell r="R199">
            <v>0</v>
          </cell>
        </row>
        <row r="200">
          <cell r="R200">
            <v>0</v>
          </cell>
        </row>
        <row r="201">
          <cell r="R201">
            <v>0</v>
          </cell>
        </row>
        <row r="202">
          <cell r="R202">
            <v>0</v>
          </cell>
        </row>
        <row r="203">
          <cell r="R203">
            <v>0</v>
          </cell>
        </row>
        <row r="204">
          <cell r="R204">
            <v>0</v>
          </cell>
        </row>
        <row r="205">
          <cell r="R205">
            <v>0</v>
          </cell>
        </row>
        <row r="206">
          <cell r="R206">
            <v>0</v>
          </cell>
        </row>
        <row r="207">
          <cell r="R207">
            <v>0</v>
          </cell>
        </row>
        <row r="208">
          <cell r="R208">
            <v>0</v>
          </cell>
        </row>
        <row r="209">
          <cell r="R209">
            <v>0</v>
          </cell>
        </row>
        <row r="210">
          <cell r="R210">
            <v>0</v>
          </cell>
        </row>
        <row r="211">
          <cell r="R211">
            <v>0</v>
          </cell>
        </row>
        <row r="215">
          <cell r="R215">
            <v>0</v>
          </cell>
        </row>
        <row r="216">
          <cell r="R216">
            <v>0</v>
          </cell>
        </row>
        <row r="217">
          <cell r="R217">
            <v>0</v>
          </cell>
        </row>
        <row r="218">
          <cell r="R218">
            <v>0</v>
          </cell>
        </row>
        <row r="219">
          <cell r="R219">
            <v>0</v>
          </cell>
        </row>
        <row r="223">
          <cell r="R223">
            <v>0</v>
          </cell>
        </row>
        <row r="224">
          <cell r="R224">
            <v>0</v>
          </cell>
        </row>
        <row r="225">
          <cell r="R225">
            <v>0</v>
          </cell>
        </row>
        <row r="226">
          <cell r="R2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Tool"/>
      <sheetName val="Summary"/>
      <sheetName val="Revenue"/>
      <sheetName val="Expense"/>
      <sheetName val="Expense con't"/>
      <sheetName val="Social Function"/>
      <sheetName val="BK Reconciliation"/>
      <sheetName val="Schedule of Payments-US"/>
      <sheetName val="SChedule of Payments-Foreig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cel Instructions"/>
      <sheetName val="TMRF Sections 1-11"/>
      <sheetName val="TMRF Budget Section"/>
      <sheetName val="TC &amp; TF Names"/>
      <sheetName val="Magazine R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39"/>
  <sheetViews>
    <sheetView tabSelected="1" zoomScale="75" zoomScaleNormal="75" zoomScalePageLayoutView="0" workbookViewId="0" topLeftCell="A1">
      <selection activeCell="C57" sqref="C57:G57"/>
    </sheetView>
  </sheetViews>
  <sheetFormatPr defaultColWidth="9.140625" defaultRowHeight="12.75"/>
  <cols>
    <col min="4" max="4" width="27.421875" style="0" customWidth="1"/>
    <col min="6" max="6" width="16.57421875" style="0" customWidth="1"/>
    <col min="7" max="7" width="16.00390625" style="0" customWidth="1"/>
    <col min="10" max="10" width="49.7109375" style="0" customWidth="1"/>
    <col min="12" max="12" width="10.28125" style="0" customWidth="1"/>
    <col min="13" max="13" width="18.00390625" style="0" customWidth="1"/>
    <col min="14" max="14" width="11.00390625" style="0" customWidth="1"/>
    <col min="15" max="15" width="7.00390625" style="0" customWidth="1"/>
    <col min="16" max="16" width="33.8515625" style="0" customWidth="1"/>
    <col min="17" max="17" width="7.57421875" style="0" customWidth="1"/>
    <col min="18" max="18" width="7.421875" style="0" customWidth="1"/>
    <col min="19" max="19" width="8.140625" style="0" customWidth="1"/>
    <col min="20" max="21" width="7.7109375" style="0" customWidth="1"/>
    <col min="22" max="22" width="8.00390625" style="0" customWidth="1"/>
    <col min="23" max="24" width="7.57421875" style="0" customWidth="1"/>
    <col min="25" max="25" width="8.00390625" style="0" customWidth="1"/>
  </cols>
  <sheetData>
    <row r="1" spans="3:4" ht="15.75">
      <c r="C1" s="1" t="str">
        <f>"12/21/04"</f>
        <v>12/21/04</v>
      </c>
      <c r="D1" s="24" t="s">
        <v>64</v>
      </c>
    </row>
    <row r="2" spans="6:13" ht="12.75">
      <c r="F2" s="1"/>
      <c r="G2" s="1"/>
      <c r="I2" s="1"/>
      <c r="J2" s="1"/>
      <c r="L2" s="1"/>
      <c r="M2" s="1"/>
    </row>
    <row r="3" spans="4:13" ht="12.75">
      <c r="D3" s="1"/>
      <c r="E3" s="1" t="s">
        <v>88</v>
      </c>
      <c r="F3" s="1"/>
      <c r="G3" s="1"/>
      <c r="H3" s="1"/>
      <c r="I3" s="1"/>
      <c r="J3" s="1"/>
      <c r="K3" s="1"/>
      <c r="L3" s="1"/>
      <c r="M3" s="1"/>
    </row>
    <row r="4" spans="3:13" ht="12.75">
      <c r="C4" t="s">
        <v>50</v>
      </c>
      <c r="D4" s="1"/>
      <c r="E4" s="1"/>
      <c r="F4" s="54">
        <f>G75</f>
        <v>304911.45999999996</v>
      </c>
      <c r="G4" s="2"/>
      <c r="H4" s="2"/>
      <c r="I4" s="2"/>
      <c r="J4" s="2"/>
      <c r="K4" s="2"/>
      <c r="L4" s="2"/>
      <c r="M4" s="1"/>
    </row>
    <row r="5" spans="3:13" ht="12.75">
      <c r="C5" s="1" t="s">
        <v>86</v>
      </c>
      <c r="D5" s="1"/>
      <c r="E5" s="1"/>
      <c r="F5" s="54">
        <f>M75</f>
        <v>231900.27000000002</v>
      </c>
      <c r="G5" s="2"/>
      <c r="H5" s="2"/>
      <c r="I5" s="2"/>
      <c r="J5" s="2"/>
      <c r="K5" s="2"/>
      <c r="L5" s="2"/>
      <c r="M5" s="1"/>
    </row>
    <row r="6" spans="3:13" ht="15.75">
      <c r="C6" t="s">
        <v>87</v>
      </c>
      <c r="D6" s="1"/>
      <c r="E6" s="1"/>
      <c r="F6" s="54">
        <f>F4-F5</f>
        <v>73011.18999999994</v>
      </c>
      <c r="G6" s="2"/>
      <c r="H6" s="2"/>
      <c r="I6" s="57" t="str">
        <f>"12/21/04"</f>
        <v>12/21/04</v>
      </c>
      <c r="J6" s="58" t="s">
        <v>64</v>
      </c>
      <c r="K6" s="59"/>
      <c r="L6" s="59"/>
      <c r="M6" s="57"/>
    </row>
    <row r="7" spans="2:13" ht="13.5" thickBot="1">
      <c r="B7" s="26"/>
      <c r="I7" s="29"/>
      <c r="J7" s="29"/>
      <c r="K7" s="29"/>
      <c r="L7" s="29"/>
      <c r="M7" s="60"/>
    </row>
    <row r="8" spans="3:25" ht="12.75">
      <c r="C8" s="6"/>
      <c r="D8" s="12" t="s">
        <v>20</v>
      </c>
      <c r="E8" s="16" t="s">
        <v>66</v>
      </c>
      <c r="F8" s="12"/>
      <c r="G8" s="55"/>
      <c r="H8" s="48"/>
      <c r="I8" s="6"/>
      <c r="J8" s="12" t="s">
        <v>47</v>
      </c>
      <c r="K8" s="16" t="s">
        <v>65</v>
      </c>
      <c r="L8" s="12"/>
      <c r="M8" s="55"/>
      <c r="N8" s="29"/>
      <c r="T8" s="48"/>
      <c r="U8" s="49"/>
      <c r="V8" s="49"/>
      <c r="W8" s="49"/>
      <c r="X8" s="49"/>
      <c r="Y8" s="49"/>
    </row>
    <row r="9" spans="3:25" ht="12.75">
      <c r="C9" s="7"/>
      <c r="D9" s="13"/>
      <c r="E9" s="25" t="str">
        <f>"#"</f>
        <v>#</v>
      </c>
      <c r="F9" s="5" t="str">
        <f>"@"</f>
        <v>@</v>
      </c>
      <c r="G9" s="8"/>
      <c r="H9" s="51"/>
      <c r="I9" s="7"/>
      <c r="J9" s="13"/>
      <c r="K9" s="17" t="str">
        <f>"#"</f>
        <v>#</v>
      </c>
      <c r="L9" s="5" t="str">
        <f>"@"</f>
        <v>@</v>
      </c>
      <c r="M9" s="8"/>
      <c r="N9" s="29"/>
      <c r="T9" s="38"/>
      <c r="U9" s="39"/>
      <c r="V9" s="29"/>
      <c r="W9" s="39"/>
      <c r="X9" s="39"/>
      <c r="Y9" s="29"/>
    </row>
    <row r="10" spans="3:25" ht="12.75">
      <c r="C10" s="9" t="str">
        <f>"6.0"</f>
        <v>6.0</v>
      </c>
      <c r="D10" s="14" t="s">
        <v>76</v>
      </c>
      <c r="E10" s="18">
        <f>SUM(E11:E20)</f>
        <v>503</v>
      </c>
      <c r="F10" s="72"/>
      <c r="G10" s="63">
        <f>SUM(G11:G21)</f>
        <v>200500</v>
      </c>
      <c r="H10" s="46"/>
      <c r="I10" s="9" t="str">
        <f>"14.0"</f>
        <v>14.0</v>
      </c>
      <c r="J10" s="14" t="s">
        <v>21</v>
      </c>
      <c r="K10" s="18"/>
      <c r="L10" s="62"/>
      <c r="M10" s="63">
        <f>SUM(M11:M15)</f>
        <v>13295.43</v>
      </c>
      <c r="N10" s="49"/>
      <c r="T10" s="46"/>
      <c r="U10" s="47"/>
      <c r="V10" s="47"/>
      <c r="W10" s="47"/>
      <c r="X10" s="47"/>
      <c r="Y10" s="47"/>
    </row>
    <row r="11" spans="3:25" ht="12.75">
      <c r="C11" s="10" t="str">
        <f>"6.1"</f>
        <v>6.1</v>
      </c>
      <c r="D11" s="13" t="s">
        <v>0</v>
      </c>
      <c r="E11" s="7">
        <v>138</v>
      </c>
      <c r="F11" s="73">
        <v>400</v>
      </c>
      <c r="G11" s="61">
        <f aca="true" t="shared" si="0" ref="G11:G18">E11*F11</f>
        <v>55200</v>
      </c>
      <c r="H11" s="50"/>
      <c r="I11" s="7" t="str">
        <f>"14.1"</f>
        <v>14.1</v>
      </c>
      <c r="J11" s="33" t="s">
        <v>57</v>
      </c>
      <c r="K11" s="7"/>
      <c r="L11" s="64"/>
      <c r="M11" s="61">
        <v>3975</v>
      </c>
      <c r="N11" s="29"/>
      <c r="T11" s="40"/>
      <c r="U11" s="29"/>
      <c r="V11" s="41"/>
      <c r="W11" s="29"/>
      <c r="X11" s="29"/>
      <c r="Y11" s="41"/>
    </row>
    <row r="12" spans="3:25" ht="12.75">
      <c r="C12" s="7" t="str">
        <f>"6.2"</f>
        <v>6.2</v>
      </c>
      <c r="D12" s="13" t="s">
        <v>1</v>
      </c>
      <c r="E12" s="7">
        <v>98</v>
      </c>
      <c r="F12" s="73">
        <v>550</v>
      </c>
      <c r="G12" s="61">
        <f t="shared" si="0"/>
        <v>53900</v>
      </c>
      <c r="H12" s="50"/>
      <c r="I12" s="7" t="str">
        <f>"14.2"</f>
        <v>14.2</v>
      </c>
      <c r="J12" s="13" t="s">
        <v>22</v>
      </c>
      <c r="K12" s="19"/>
      <c r="L12" s="64"/>
      <c r="M12" s="61">
        <v>4613</v>
      </c>
      <c r="N12" s="29"/>
      <c r="T12" s="42"/>
      <c r="U12" s="41"/>
      <c r="V12" s="41"/>
      <c r="W12" s="41"/>
      <c r="X12" s="41"/>
      <c r="Y12" s="41"/>
    </row>
    <row r="13" spans="3:25" ht="12.75">
      <c r="C13" s="7" t="str">
        <f>"6.3"</f>
        <v>6.3</v>
      </c>
      <c r="D13" s="13" t="s">
        <v>2</v>
      </c>
      <c r="E13" s="7">
        <v>68</v>
      </c>
      <c r="F13" s="73">
        <v>110</v>
      </c>
      <c r="G13" s="61">
        <f t="shared" si="0"/>
        <v>7480</v>
      </c>
      <c r="H13" s="50"/>
      <c r="I13" s="7" t="str">
        <f>"14.3"</f>
        <v>14.3</v>
      </c>
      <c r="J13" s="13" t="s">
        <v>56</v>
      </c>
      <c r="K13" s="19"/>
      <c r="L13" s="64"/>
      <c r="M13" s="61">
        <v>918.17</v>
      </c>
      <c r="N13" s="29"/>
      <c r="T13" s="42"/>
      <c r="U13" s="41"/>
      <c r="V13" s="41"/>
      <c r="W13" s="41"/>
      <c r="X13" s="41"/>
      <c r="Y13" s="41"/>
    </row>
    <row r="14" spans="3:25" ht="12.75">
      <c r="C14" s="7" t="str">
        <f>"6.4"</f>
        <v>6.4</v>
      </c>
      <c r="D14" s="13" t="s">
        <v>3</v>
      </c>
      <c r="E14" s="7">
        <v>2</v>
      </c>
      <c r="F14" s="73">
        <v>110</v>
      </c>
      <c r="G14" s="61">
        <f t="shared" si="0"/>
        <v>220</v>
      </c>
      <c r="H14" s="50"/>
      <c r="I14" s="7" t="str">
        <f>"14.4"</f>
        <v>14.4</v>
      </c>
      <c r="J14" s="13" t="s">
        <v>23</v>
      </c>
      <c r="K14" s="19"/>
      <c r="L14" s="64"/>
      <c r="M14" s="61">
        <v>2714.8</v>
      </c>
      <c r="N14" s="29"/>
      <c r="T14" s="42"/>
      <c r="U14" s="41"/>
      <c r="V14" s="41"/>
      <c r="W14" s="41"/>
      <c r="X14" s="41"/>
      <c r="Y14" s="41"/>
    </row>
    <row r="15" spans="3:25" ht="12.75">
      <c r="C15" s="7" t="str">
        <f>"6.5"</f>
        <v>6.5</v>
      </c>
      <c r="D15" s="13" t="s">
        <v>4</v>
      </c>
      <c r="E15" s="7">
        <v>70</v>
      </c>
      <c r="F15" s="73">
        <v>500</v>
      </c>
      <c r="G15" s="61">
        <f t="shared" si="0"/>
        <v>35000</v>
      </c>
      <c r="H15" s="50"/>
      <c r="I15" s="21" t="str">
        <f>"14.5"</f>
        <v>14.5</v>
      </c>
      <c r="J15" s="22" t="s">
        <v>58</v>
      </c>
      <c r="K15" s="23"/>
      <c r="L15" s="65"/>
      <c r="M15" s="66">
        <v>1074.46</v>
      </c>
      <c r="N15" s="29"/>
      <c r="T15" s="42"/>
      <c r="U15" s="41"/>
      <c r="V15" s="41"/>
      <c r="W15" s="41"/>
      <c r="X15" s="41"/>
      <c r="Y15" s="41"/>
    </row>
    <row r="16" spans="3:25" ht="12.75">
      <c r="C16" s="7" t="str">
        <f>"6.6"</f>
        <v>6.6</v>
      </c>
      <c r="D16" s="13" t="s">
        <v>5</v>
      </c>
      <c r="E16" s="7">
        <v>65</v>
      </c>
      <c r="F16" s="73">
        <v>650</v>
      </c>
      <c r="G16" s="61">
        <f t="shared" si="0"/>
        <v>42250</v>
      </c>
      <c r="H16" s="50"/>
      <c r="I16" s="7"/>
      <c r="J16" s="13"/>
      <c r="K16" s="19"/>
      <c r="L16" s="64"/>
      <c r="M16" s="61"/>
      <c r="N16" s="29"/>
      <c r="T16" s="42"/>
      <c r="U16" s="41"/>
      <c r="V16" s="41"/>
      <c r="W16" s="41"/>
      <c r="X16" s="41"/>
      <c r="Y16" s="41"/>
    </row>
    <row r="17" spans="3:25" ht="12.75">
      <c r="C17" s="7" t="str">
        <f>"6.7"</f>
        <v>6.7</v>
      </c>
      <c r="D17" s="13" t="s">
        <v>6</v>
      </c>
      <c r="E17" s="7">
        <v>47</v>
      </c>
      <c r="F17" s="73">
        <v>125</v>
      </c>
      <c r="G17" s="61">
        <f t="shared" si="0"/>
        <v>5875</v>
      </c>
      <c r="H17" s="50"/>
      <c r="I17" s="9" t="str">
        <f>"15.0"</f>
        <v>15.0</v>
      </c>
      <c r="J17" s="14" t="s">
        <v>24</v>
      </c>
      <c r="K17" s="18"/>
      <c r="L17" s="62"/>
      <c r="M17" s="63">
        <f>M18+M20</f>
        <v>11330.95</v>
      </c>
      <c r="N17" s="29"/>
      <c r="T17" s="43"/>
      <c r="U17" s="44"/>
      <c r="V17" s="44"/>
      <c r="W17" s="44"/>
      <c r="X17" s="44"/>
      <c r="Y17" s="44"/>
    </row>
    <row r="18" spans="3:25" ht="12.75">
      <c r="C18" s="7" t="str">
        <f>"6.8"</f>
        <v>6.8</v>
      </c>
      <c r="D18" s="13" t="s">
        <v>7</v>
      </c>
      <c r="E18" s="7">
        <v>1</v>
      </c>
      <c r="F18" s="73">
        <v>125</v>
      </c>
      <c r="G18" s="61">
        <f t="shared" si="0"/>
        <v>125</v>
      </c>
      <c r="H18" s="50"/>
      <c r="I18" s="7" t="str">
        <f>"15.1"</f>
        <v>15.1</v>
      </c>
      <c r="J18" s="13" t="s">
        <v>25</v>
      </c>
      <c r="K18" s="19"/>
      <c r="L18" s="64"/>
      <c r="M18" s="61">
        <v>10739.79</v>
      </c>
      <c r="N18" s="29"/>
      <c r="T18" s="42"/>
      <c r="U18" s="41"/>
      <c r="V18" s="41"/>
      <c r="W18" s="41"/>
      <c r="X18" s="41"/>
      <c r="Y18" s="41"/>
    </row>
    <row r="19" spans="3:25" ht="12.75">
      <c r="C19" s="7" t="str">
        <f>"6.9"</f>
        <v>6.9</v>
      </c>
      <c r="D19" s="13" t="s">
        <v>74</v>
      </c>
      <c r="E19" s="7">
        <v>13</v>
      </c>
      <c r="F19" s="73">
        <v>0</v>
      </c>
      <c r="G19" s="61">
        <f>E19*F19</f>
        <v>0</v>
      </c>
      <c r="H19" s="50"/>
      <c r="I19" s="7" t="str">
        <f>"15.2"</f>
        <v>15.2</v>
      </c>
      <c r="J19" s="33" t="s">
        <v>59</v>
      </c>
      <c r="K19" s="7"/>
      <c r="L19" s="64"/>
      <c r="M19" s="67">
        <v>0</v>
      </c>
      <c r="N19" s="29"/>
      <c r="T19" s="46"/>
      <c r="U19" s="47"/>
      <c r="V19" s="47"/>
      <c r="W19" s="47"/>
      <c r="X19" s="47"/>
      <c r="Y19" s="47"/>
    </row>
    <row r="20" spans="3:25" ht="12.75">
      <c r="C20" s="7" t="str">
        <f>"6.10"</f>
        <v>6.10</v>
      </c>
      <c r="D20" s="13" t="s">
        <v>75</v>
      </c>
      <c r="E20" s="7">
        <v>1</v>
      </c>
      <c r="F20" s="73">
        <v>0</v>
      </c>
      <c r="G20" s="61">
        <f>E20*F20</f>
        <v>0</v>
      </c>
      <c r="H20" s="46"/>
      <c r="I20" s="7" t="str">
        <f>"15.3"</f>
        <v>15.3</v>
      </c>
      <c r="J20" s="13" t="s">
        <v>26</v>
      </c>
      <c r="K20" s="19"/>
      <c r="L20" s="64"/>
      <c r="M20" s="61">
        <v>591.16</v>
      </c>
      <c r="N20" s="29"/>
      <c r="T20" s="42"/>
      <c r="U20" s="41"/>
      <c r="V20" s="41"/>
      <c r="W20" s="41"/>
      <c r="X20" s="41"/>
      <c r="Y20" s="41"/>
    </row>
    <row r="21" spans="3:25" ht="12.75">
      <c r="C21" s="27">
        <v>6.11</v>
      </c>
      <c r="D21" s="13" t="s">
        <v>89</v>
      </c>
      <c r="E21" s="19">
        <v>9</v>
      </c>
      <c r="F21" s="64">
        <v>50</v>
      </c>
      <c r="G21" s="61">
        <f>E21*F21</f>
        <v>450</v>
      </c>
      <c r="H21" s="50"/>
      <c r="I21" s="7"/>
      <c r="J21" s="13"/>
      <c r="K21" s="19"/>
      <c r="L21" s="64"/>
      <c r="M21" s="61"/>
      <c r="N21" s="29"/>
      <c r="T21" s="40"/>
      <c r="U21" s="29"/>
      <c r="V21" s="45"/>
      <c r="W21" s="29"/>
      <c r="X21" s="29"/>
      <c r="Y21" s="45"/>
    </row>
    <row r="22" spans="3:25" ht="12.75">
      <c r="C22" s="7"/>
      <c r="D22" s="13"/>
      <c r="E22" s="19"/>
      <c r="F22" s="64"/>
      <c r="G22" s="61"/>
      <c r="H22" s="50"/>
      <c r="I22" s="9" t="str">
        <f>"16.0"</f>
        <v>16.0</v>
      </c>
      <c r="J22" s="14" t="s">
        <v>27</v>
      </c>
      <c r="K22" s="18"/>
      <c r="L22" s="62"/>
      <c r="M22" s="63">
        <v>0</v>
      </c>
      <c r="N22" s="29"/>
      <c r="T22" s="42"/>
      <c r="U22" s="41"/>
      <c r="V22" s="41"/>
      <c r="W22" s="41"/>
      <c r="X22" s="41"/>
      <c r="Y22" s="41"/>
    </row>
    <row r="23" spans="3:25" ht="12.75">
      <c r="C23" s="9" t="str">
        <f>"7.0"</f>
        <v>7.0</v>
      </c>
      <c r="D23" s="14" t="s">
        <v>8</v>
      </c>
      <c r="E23" s="18"/>
      <c r="F23" s="62"/>
      <c r="G23" s="63">
        <f>SUM(G24:G26)</f>
        <v>1589.16</v>
      </c>
      <c r="H23" s="50"/>
      <c r="I23" s="7"/>
      <c r="J23" s="13"/>
      <c r="K23" s="19"/>
      <c r="L23" s="64"/>
      <c r="M23" s="61"/>
      <c r="N23" s="29"/>
      <c r="T23" s="42"/>
      <c r="U23" s="41"/>
      <c r="V23" s="41"/>
      <c r="W23" s="41"/>
      <c r="X23" s="41"/>
      <c r="Y23" s="41"/>
    </row>
    <row r="24" spans="3:25" ht="12.75">
      <c r="C24" s="7" t="str">
        <f>"7.1"</f>
        <v>7.1</v>
      </c>
      <c r="D24" s="13" t="s">
        <v>9</v>
      </c>
      <c r="E24" s="19"/>
      <c r="F24" s="64">
        <v>0</v>
      </c>
      <c r="G24" s="61">
        <f>E24*F24</f>
        <v>0</v>
      </c>
      <c r="H24" s="50"/>
      <c r="I24" s="9" t="str">
        <f>"17.0"</f>
        <v>17.0</v>
      </c>
      <c r="J24" s="14" t="s">
        <v>30</v>
      </c>
      <c r="K24" s="18"/>
      <c r="L24" s="62"/>
      <c r="M24" s="63">
        <f>M25+M26+M27+M28</f>
        <v>49272.7</v>
      </c>
      <c r="N24" s="29"/>
      <c r="T24" s="46"/>
      <c r="U24" s="47"/>
      <c r="V24" s="47"/>
      <c r="W24" s="47"/>
      <c r="X24" s="47"/>
      <c r="Y24" s="47"/>
    </row>
    <row r="25" spans="3:25" ht="12.75">
      <c r="C25" s="7" t="str">
        <f>"7.2"</f>
        <v>7.2</v>
      </c>
      <c r="D25" s="13" t="s">
        <v>10</v>
      </c>
      <c r="E25" s="19"/>
      <c r="F25" s="64">
        <v>0</v>
      </c>
      <c r="G25" s="61">
        <f>E25*F25</f>
        <v>0</v>
      </c>
      <c r="H25" s="46"/>
      <c r="I25" s="7" t="str">
        <f>"17.1"</f>
        <v>17.1</v>
      </c>
      <c r="J25" s="13" t="s">
        <v>12</v>
      </c>
      <c r="K25" s="19"/>
      <c r="L25" s="64"/>
      <c r="M25" s="61">
        <v>6391.5</v>
      </c>
      <c r="N25" s="29"/>
      <c r="T25" s="42"/>
      <c r="U25" s="41"/>
      <c r="V25" s="41"/>
      <c r="W25" s="41"/>
      <c r="X25" s="41"/>
      <c r="Y25" s="41"/>
    </row>
    <row r="26" spans="3:25" ht="12.75">
      <c r="C26" s="7" t="str">
        <f>"7.3"</f>
        <v>7.3</v>
      </c>
      <c r="D26" s="13" t="s">
        <v>11</v>
      </c>
      <c r="E26" s="19">
        <v>102</v>
      </c>
      <c r="F26" s="64">
        <v>15.58</v>
      </c>
      <c r="G26" s="61">
        <f>E26*F26</f>
        <v>1589.16</v>
      </c>
      <c r="H26" s="50"/>
      <c r="I26" s="7" t="str">
        <f>"17.2"</f>
        <v>17.2</v>
      </c>
      <c r="J26" s="13" t="s">
        <v>13</v>
      </c>
      <c r="K26" s="19"/>
      <c r="L26" s="64"/>
      <c r="M26" s="61">
        <v>15342.4</v>
      </c>
      <c r="N26" s="29"/>
      <c r="T26" s="46"/>
      <c r="U26" s="47"/>
      <c r="V26" s="47"/>
      <c r="W26" s="47"/>
      <c r="X26" s="47"/>
      <c r="Y26" s="47"/>
    </row>
    <row r="27" spans="3:25" ht="12.75">
      <c r="C27" s="7"/>
      <c r="D27" s="13"/>
      <c r="E27" s="19"/>
      <c r="F27" s="64"/>
      <c r="G27" s="61"/>
      <c r="H27" s="46"/>
      <c r="I27" s="7" t="str">
        <f>"17.3"</f>
        <v>17.3</v>
      </c>
      <c r="J27" s="13" t="s">
        <v>31</v>
      </c>
      <c r="K27" s="19"/>
      <c r="L27" s="64"/>
      <c r="M27" s="61">
        <v>16770</v>
      </c>
      <c r="N27" s="29"/>
      <c r="T27" s="42"/>
      <c r="U27" s="41"/>
      <c r="V27" s="41"/>
      <c r="W27" s="41"/>
      <c r="X27" s="41"/>
      <c r="Y27" s="41"/>
    </row>
    <row r="28" spans="3:25" ht="12.75">
      <c r="C28" s="9" t="str">
        <f>"8.0"</f>
        <v>8.0</v>
      </c>
      <c r="D28" s="14" t="s">
        <v>28</v>
      </c>
      <c r="E28" s="18"/>
      <c r="F28" s="62"/>
      <c r="G28" s="63">
        <v>0</v>
      </c>
      <c r="H28" s="50"/>
      <c r="I28" s="7" t="str">
        <f>"17.4"</f>
        <v>17.4</v>
      </c>
      <c r="J28" s="13" t="s">
        <v>32</v>
      </c>
      <c r="K28" s="19"/>
      <c r="L28" s="64"/>
      <c r="M28" s="61">
        <v>10768.8</v>
      </c>
      <c r="N28" s="29"/>
      <c r="T28" s="42"/>
      <c r="U28" s="41"/>
      <c r="V28" s="41"/>
      <c r="W28" s="41"/>
      <c r="X28" s="41"/>
      <c r="Y28" s="41"/>
    </row>
    <row r="29" spans="3:25" ht="12.75">
      <c r="C29" s="7"/>
      <c r="D29" s="13"/>
      <c r="E29" s="19"/>
      <c r="F29" s="64"/>
      <c r="G29" s="61"/>
      <c r="H29" s="50"/>
      <c r="I29" s="7"/>
      <c r="J29" s="13"/>
      <c r="K29" s="19"/>
      <c r="L29" s="64"/>
      <c r="M29" s="61"/>
      <c r="N29" s="29"/>
      <c r="T29" s="42"/>
      <c r="U29" s="41"/>
      <c r="V29" s="41"/>
      <c r="W29" s="41"/>
      <c r="X29" s="41"/>
      <c r="Y29" s="41"/>
    </row>
    <row r="30" spans="3:25" ht="12.75">
      <c r="C30" s="9" t="str">
        <f>"9.0"</f>
        <v>9.0</v>
      </c>
      <c r="D30" s="14" t="s">
        <v>29</v>
      </c>
      <c r="E30" s="18"/>
      <c r="F30" s="62"/>
      <c r="G30" s="63">
        <f>G31+G35</f>
        <v>7950</v>
      </c>
      <c r="H30" s="50"/>
      <c r="I30" s="9" t="str">
        <f>"18.0"</f>
        <v>18.0</v>
      </c>
      <c r="J30" s="14" t="s">
        <v>33</v>
      </c>
      <c r="K30" s="18"/>
      <c r="L30" s="62"/>
      <c r="M30" s="63">
        <f>SUM(M31:M39)+M42+M47+M48+M49</f>
        <v>95142.22000000002</v>
      </c>
      <c r="N30" s="29"/>
      <c r="T30" s="42"/>
      <c r="U30" s="41"/>
      <c r="V30" s="41"/>
      <c r="W30" s="41"/>
      <c r="X30" s="41"/>
      <c r="Y30" s="41"/>
    </row>
    <row r="31" spans="3:25" ht="12.75">
      <c r="C31" s="7" t="str">
        <f>"9.1"</f>
        <v>9.1</v>
      </c>
      <c r="D31" s="13" t="s">
        <v>12</v>
      </c>
      <c r="E31" s="19">
        <f>SUM(E32:E34)</f>
        <v>66</v>
      </c>
      <c r="F31" s="64"/>
      <c r="G31" s="61">
        <f>SUM(G32:G34)</f>
        <v>660</v>
      </c>
      <c r="H31" s="50"/>
      <c r="I31" s="7" t="str">
        <f>"18.1"</f>
        <v>18.1</v>
      </c>
      <c r="J31" s="13" t="s">
        <v>44</v>
      </c>
      <c r="K31" s="19"/>
      <c r="L31" s="64"/>
      <c r="M31" s="61">
        <v>1819</v>
      </c>
      <c r="N31" s="29"/>
      <c r="T31" s="42"/>
      <c r="U31" s="41"/>
      <c r="V31" s="41"/>
      <c r="W31" s="41"/>
      <c r="X31" s="41"/>
      <c r="Y31" s="41"/>
    </row>
    <row r="32" spans="3:25" ht="12.75">
      <c r="C32" s="7" t="s">
        <v>91</v>
      </c>
      <c r="D32" s="13" t="s">
        <v>98</v>
      </c>
      <c r="E32" s="19">
        <v>25</v>
      </c>
      <c r="F32" s="64">
        <v>10</v>
      </c>
      <c r="G32" s="61">
        <f>E32*F32</f>
        <v>250</v>
      </c>
      <c r="H32" s="50"/>
      <c r="I32" s="7" t="str">
        <f>"18.2"</f>
        <v>18.2</v>
      </c>
      <c r="J32" s="13" t="s">
        <v>35</v>
      </c>
      <c r="K32" s="19"/>
      <c r="L32" s="64"/>
      <c r="M32" s="61">
        <v>31052.24</v>
      </c>
      <c r="N32" s="29"/>
      <c r="T32" s="46"/>
      <c r="U32" s="47"/>
      <c r="V32" s="47"/>
      <c r="W32" s="47"/>
      <c r="X32" s="47"/>
      <c r="Y32" s="47"/>
    </row>
    <row r="33" spans="3:25" ht="12.75">
      <c r="C33" s="7" t="s">
        <v>92</v>
      </c>
      <c r="D33" s="13" t="s">
        <v>99</v>
      </c>
      <c r="E33" s="19">
        <v>40</v>
      </c>
      <c r="F33" s="64">
        <v>10</v>
      </c>
      <c r="G33" s="61">
        <f>E33*F33</f>
        <v>400</v>
      </c>
      <c r="H33" s="50"/>
      <c r="I33" s="7" t="str">
        <f>"18.3"</f>
        <v>18.3</v>
      </c>
      <c r="J33" s="13" t="s">
        <v>34</v>
      </c>
      <c r="K33" s="19"/>
      <c r="L33" s="64"/>
      <c r="M33" s="61">
        <v>0</v>
      </c>
      <c r="N33" s="29"/>
      <c r="T33" s="42"/>
      <c r="U33" s="41"/>
      <c r="V33" s="41"/>
      <c r="W33" s="41"/>
      <c r="X33" s="41"/>
      <c r="Y33" s="41"/>
    </row>
    <row r="34" spans="3:25" ht="12.75">
      <c r="C34" s="7" t="s">
        <v>93</v>
      </c>
      <c r="D34" s="13" t="s">
        <v>100</v>
      </c>
      <c r="E34" s="19">
        <v>1</v>
      </c>
      <c r="F34" s="64">
        <v>10</v>
      </c>
      <c r="G34" s="61">
        <f>E34*F34</f>
        <v>10</v>
      </c>
      <c r="H34" s="50"/>
      <c r="I34" s="7" t="str">
        <f>"18.4"</f>
        <v>18.4</v>
      </c>
      <c r="J34" s="33" t="s">
        <v>60</v>
      </c>
      <c r="K34" s="7"/>
      <c r="L34" s="64"/>
      <c r="M34" s="67">
        <v>0</v>
      </c>
      <c r="N34" s="29"/>
      <c r="T34" s="42"/>
      <c r="U34" s="41"/>
      <c r="V34" s="41"/>
      <c r="W34" s="41"/>
      <c r="X34" s="41"/>
      <c r="Y34" s="41"/>
    </row>
    <row r="35" spans="3:25" ht="12.75">
      <c r="C35" s="7" t="str">
        <f>"9.2"</f>
        <v>9.2</v>
      </c>
      <c r="D35" s="13" t="s">
        <v>13</v>
      </c>
      <c r="E35" s="19">
        <f>SUM(E36:E39)</f>
        <v>243</v>
      </c>
      <c r="F35" s="64"/>
      <c r="G35" s="61">
        <f>SUM(G36:G39)</f>
        <v>7290</v>
      </c>
      <c r="H35" s="50"/>
      <c r="I35" s="7" t="str">
        <f>"18.5"</f>
        <v>18.5</v>
      </c>
      <c r="J35" s="13" t="s">
        <v>37</v>
      </c>
      <c r="K35" s="19"/>
      <c r="L35" s="64"/>
      <c r="M35" s="61">
        <v>38946</v>
      </c>
      <c r="N35" s="29"/>
      <c r="T35" s="42"/>
      <c r="U35" s="41"/>
      <c r="V35" s="41"/>
      <c r="W35" s="41"/>
      <c r="X35" s="41"/>
      <c r="Y35" s="41"/>
    </row>
    <row r="36" spans="3:25" ht="12.75">
      <c r="C36" s="7" t="s">
        <v>94</v>
      </c>
      <c r="D36" s="13" t="s">
        <v>101</v>
      </c>
      <c r="E36" s="19">
        <v>213</v>
      </c>
      <c r="F36" s="64">
        <v>30</v>
      </c>
      <c r="G36" s="61">
        <f>E36*F36</f>
        <v>6390</v>
      </c>
      <c r="H36" s="50"/>
      <c r="I36" s="7" t="str">
        <f>"18.6"</f>
        <v>18.6</v>
      </c>
      <c r="J36" s="13" t="s">
        <v>43</v>
      </c>
      <c r="K36" s="19"/>
      <c r="L36" s="64"/>
      <c r="M36" s="61">
        <v>5834.02</v>
      </c>
      <c r="N36" s="29"/>
      <c r="T36" s="40"/>
      <c r="U36" s="29"/>
      <c r="V36" s="45"/>
      <c r="W36" s="29"/>
      <c r="X36" s="29"/>
      <c r="Y36" s="45"/>
    </row>
    <row r="37" spans="3:25" ht="12.75">
      <c r="C37" s="7" t="s">
        <v>95</v>
      </c>
      <c r="D37" s="13" t="s">
        <v>98</v>
      </c>
      <c r="E37" s="19">
        <v>22</v>
      </c>
      <c r="F37" s="64">
        <v>30</v>
      </c>
      <c r="G37" s="61">
        <f>E37*F37</f>
        <v>660</v>
      </c>
      <c r="H37" s="50"/>
      <c r="I37" s="7" t="str">
        <f>"18.7"</f>
        <v>18.7</v>
      </c>
      <c r="J37" s="13" t="s">
        <v>36</v>
      </c>
      <c r="K37" s="19"/>
      <c r="L37" s="64"/>
      <c r="M37" s="61">
        <v>1430.86</v>
      </c>
      <c r="N37" s="29"/>
      <c r="T37" s="42"/>
      <c r="U37" s="41"/>
      <c r="V37" s="41"/>
      <c r="W37" s="41"/>
      <c r="X37" s="41"/>
      <c r="Y37" s="41"/>
    </row>
    <row r="38" spans="3:25" ht="12.75">
      <c r="C38" s="7" t="s">
        <v>96</v>
      </c>
      <c r="D38" s="13" t="s">
        <v>99</v>
      </c>
      <c r="E38" s="19">
        <v>5</v>
      </c>
      <c r="F38" s="64">
        <v>30</v>
      </c>
      <c r="G38" s="61">
        <f>E38*F38</f>
        <v>150</v>
      </c>
      <c r="H38" s="46"/>
      <c r="I38" s="7" t="str">
        <f>"18.8"</f>
        <v>18.8</v>
      </c>
      <c r="J38" s="13" t="s">
        <v>125</v>
      </c>
      <c r="K38" s="19"/>
      <c r="L38" s="64"/>
      <c r="M38" s="61">
        <v>6572.3</v>
      </c>
      <c r="N38" s="29"/>
      <c r="T38" s="42"/>
      <c r="U38" s="41"/>
      <c r="V38" s="41"/>
      <c r="W38" s="41"/>
      <c r="X38" s="41"/>
      <c r="Y38" s="41"/>
    </row>
    <row r="39" spans="3:25" ht="12.75">
      <c r="C39" s="7" t="s">
        <v>97</v>
      </c>
      <c r="D39" s="13" t="s">
        <v>100</v>
      </c>
      <c r="E39" s="19">
        <v>3</v>
      </c>
      <c r="F39" s="64">
        <v>30</v>
      </c>
      <c r="G39" s="61">
        <f>E39*F39</f>
        <v>90</v>
      </c>
      <c r="H39" s="50"/>
      <c r="I39" s="7" t="str">
        <f>"18.9"</f>
        <v>18.9</v>
      </c>
      <c r="J39" s="13" t="s">
        <v>62</v>
      </c>
      <c r="K39" s="19"/>
      <c r="L39" s="64"/>
      <c r="M39" s="61">
        <f>M40+M41</f>
        <v>4410.16</v>
      </c>
      <c r="N39" s="29"/>
      <c r="T39" s="42"/>
      <c r="U39" s="41"/>
      <c r="V39" s="41"/>
      <c r="W39" s="41"/>
      <c r="X39" s="41"/>
      <c r="Y39" s="41"/>
    </row>
    <row r="40" spans="3:25" ht="12.75">
      <c r="C40" s="7"/>
      <c r="D40" s="13"/>
      <c r="E40" s="19"/>
      <c r="F40" s="64"/>
      <c r="G40" s="61"/>
      <c r="H40" s="50"/>
      <c r="I40" s="7" t="str">
        <f>"  18.9.1"</f>
        <v>  18.9.1</v>
      </c>
      <c r="J40" s="13" t="s">
        <v>126</v>
      </c>
      <c r="K40" s="19"/>
      <c r="L40" s="64"/>
      <c r="M40" s="61">
        <v>4119.8</v>
      </c>
      <c r="N40" s="29"/>
      <c r="T40" s="42"/>
      <c r="U40" s="41"/>
      <c r="V40" s="41"/>
      <c r="W40" s="41"/>
      <c r="X40" s="41"/>
      <c r="Y40" s="41"/>
    </row>
    <row r="41" spans="3:25" ht="12.75">
      <c r="C41" s="9" t="str">
        <f>"10.0"</f>
        <v>10.0</v>
      </c>
      <c r="D41" s="14" t="s">
        <v>14</v>
      </c>
      <c r="E41" s="18"/>
      <c r="F41" s="62"/>
      <c r="G41" s="63">
        <f>G42+G57+G60+G61+G65</f>
        <v>69872.29999999999</v>
      </c>
      <c r="H41" s="50"/>
      <c r="I41" s="7" t="str">
        <f>"  18.9.2"</f>
        <v>  18.9.2</v>
      </c>
      <c r="J41" s="33" t="s">
        <v>127</v>
      </c>
      <c r="K41" s="7"/>
      <c r="L41" s="64"/>
      <c r="M41" s="67">
        <v>290.36</v>
      </c>
      <c r="N41" s="29"/>
      <c r="T41" s="42"/>
      <c r="U41" s="41"/>
      <c r="V41" s="41"/>
      <c r="W41" s="41"/>
      <c r="X41" s="41"/>
      <c r="Y41" s="41"/>
    </row>
    <row r="42" spans="3:25" ht="12.75">
      <c r="C42" s="7" t="str">
        <f>"10.1"</f>
        <v>10.1</v>
      </c>
      <c r="D42" s="13" t="s">
        <v>15</v>
      </c>
      <c r="E42" s="19"/>
      <c r="F42" s="64"/>
      <c r="G42" s="61">
        <f>SUM(G43:G56)</f>
        <v>55500</v>
      </c>
      <c r="H42" s="50"/>
      <c r="I42" s="7" t="str">
        <f>"18.10"</f>
        <v>18.10</v>
      </c>
      <c r="J42" s="33" t="s">
        <v>63</v>
      </c>
      <c r="K42" s="7"/>
      <c r="L42" s="64"/>
      <c r="M42" s="61">
        <f>SUM(M43:M46)</f>
        <v>2096</v>
      </c>
      <c r="N42" s="29"/>
      <c r="T42" s="42"/>
      <c r="U42" s="41"/>
      <c r="V42" s="41"/>
      <c r="W42" s="41"/>
      <c r="X42" s="41"/>
      <c r="Y42" s="41"/>
    </row>
    <row r="43" spans="3:25" ht="12.75">
      <c r="C43" s="7" t="str">
        <f>"  10.1.1"</f>
        <v>  10.1.1</v>
      </c>
      <c r="D43" s="13" t="s">
        <v>103</v>
      </c>
      <c r="E43" s="19"/>
      <c r="F43" s="64"/>
      <c r="G43" s="61">
        <v>5000</v>
      </c>
      <c r="H43" s="53"/>
      <c r="I43" s="7" t="str">
        <f>"  18.10.1"</f>
        <v>  18.10.1</v>
      </c>
      <c r="J43" s="13" t="s">
        <v>128</v>
      </c>
      <c r="K43" s="19"/>
      <c r="L43" s="64"/>
      <c r="M43" s="61">
        <v>0</v>
      </c>
      <c r="N43" s="29"/>
      <c r="T43" s="40"/>
      <c r="U43" s="29"/>
      <c r="V43" s="45"/>
      <c r="W43" s="29"/>
      <c r="X43" s="29"/>
      <c r="Y43" s="45"/>
    </row>
    <row r="44" spans="3:25" ht="12.75">
      <c r="C44" s="7" t="str">
        <f>"  10.1.2"</f>
        <v>  10.1.2</v>
      </c>
      <c r="D44" s="13" t="s">
        <v>104</v>
      </c>
      <c r="E44" s="19"/>
      <c r="F44" s="64"/>
      <c r="G44" s="61">
        <v>5000</v>
      </c>
      <c r="H44" s="50"/>
      <c r="I44" s="7" t="str">
        <f>"  18.10.2"</f>
        <v>  18.10.2</v>
      </c>
      <c r="J44" s="33" t="s">
        <v>129</v>
      </c>
      <c r="K44" s="7"/>
      <c r="L44" s="64"/>
      <c r="M44" s="61">
        <v>0</v>
      </c>
      <c r="N44" s="29"/>
      <c r="T44" s="40"/>
      <c r="U44" s="29"/>
      <c r="V44" s="41"/>
      <c r="W44" s="29"/>
      <c r="X44" s="29"/>
      <c r="Y44" s="41"/>
    </row>
    <row r="45" spans="3:25" ht="12.75">
      <c r="C45" s="7" t="str">
        <f>"  10.1.3"</f>
        <v>  10.1.3</v>
      </c>
      <c r="D45" s="13" t="s">
        <v>105</v>
      </c>
      <c r="E45" s="19"/>
      <c r="F45" s="64"/>
      <c r="G45" s="61">
        <v>1500</v>
      </c>
      <c r="H45" s="50"/>
      <c r="I45" s="7" t="str">
        <f>"  18.10.3"</f>
        <v>  18.10.3</v>
      </c>
      <c r="J45" s="13" t="s">
        <v>130</v>
      </c>
      <c r="K45" s="19"/>
      <c r="L45" s="64"/>
      <c r="M45" s="61">
        <v>2096</v>
      </c>
      <c r="N45" s="29"/>
      <c r="T45" s="42"/>
      <c r="U45" s="41"/>
      <c r="V45" s="41"/>
      <c r="W45" s="41"/>
      <c r="X45" s="41"/>
      <c r="Y45" s="41"/>
    </row>
    <row r="46" spans="3:25" ht="12.75">
      <c r="C46" s="7" t="s">
        <v>102</v>
      </c>
      <c r="D46" s="37" t="s">
        <v>106</v>
      </c>
      <c r="E46" s="7"/>
      <c r="F46" s="74"/>
      <c r="G46" s="61">
        <v>5000</v>
      </c>
      <c r="H46" s="50"/>
      <c r="I46" s="7" t="str">
        <f>"  18.10.4"</f>
        <v>  18.10.4</v>
      </c>
      <c r="J46" s="33" t="s">
        <v>127</v>
      </c>
      <c r="K46" s="7"/>
      <c r="L46" s="64"/>
      <c r="M46" s="61">
        <v>0</v>
      </c>
      <c r="N46" s="29"/>
      <c r="T46" s="40"/>
      <c r="U46" s="29"/>
      <c r="V46" s="29"/>
      <c r="W46" s="29"/>
      <c r="X46" s="29"/>
      <c r="Y46" s="29"/>
    </row>
    <row r="47" spans="3:25" ht="12.75">
      <c r="C47" s="7" t="str">
        <f>"  10.1.5"</f>
        <v>  10.1.5</v>
      </c>
      <c r="D47" s="13" t="s">
        <v>107</v>
      </c>
      <c r="E47" s="19"/>
      <c r="F47" s="64"/>
      <c r="G47" s="61">
        <v>5000</v>
      </c>
      <c r="H47" s="50"/>
      <c r="I47" s="7" t="str">
        <f>"18.11"</f>
        <v>18.11</v>
      </c>
      <c r="J47" s="13" t="s">
        <v>38</v>
      </c>
      <c r="K47" s="19"/>
      <c r="L47" s="64"/>
      <c r="M47" s="61">
        <v>1325</v>
      </c>
      <c r="N47" s="29"/>
      <c r="T47" s="42"/>
      <c r="U47" s="41"/>
      <c r="V47" s="41"/>
      <c r="W47" s="41"/>
      <c r="X47" s="41"/>
      <c r="Y47" s="41"/>
    </row>
    <row r="48" spans="3:25" ht="12.75">
      <c r="C48" s="7" t="str">
        <f>"  10.1.6"</f>
        <v>  10.1.6</v>
      </c>
      <c r="D48" s="13" t="s">
        <v>108</v>
      </c>
      <c r="E48" s="19"/>
      <c r="F48" s="64"/>
      <c r="G48" s="61">
        <v>5000</v>
      </c>
      <c r="H48" s="50"/>
      <c r="I48" s="7" t="str">
        <f>"18.12"</f>
        <v>18.12</v>
      </c>
      <c r="J48" s="13" t="s">
        <v>84</v>
      </c>
      <c r="K48" s="7"/>
      <c r="L48" s="64"/>
      <c r="M48" s="61">
        <v>442</v>
      </c>
      <c r="N48" s="29"/>
      <c r="T48" s="40"/>
      <c r="U48" s="29"/>
      <c r="V48" s="29"/>
      <c r="W48" s="29"/>
      <c r="X48" s="29"/>
      <c r="Y48" s="29"/>
    </row>
    <row r="49" spans="3:25" ht="12.75">
      <c r="C49" s="7" t="str">
        <f>"  10.1.7"</f>
        <v>  10.1.7</v>
      </c>
      <c r="D49" s="13" t="s">
        <v>109</v>
      </c>
      <c r="E49" s="19"/>
      <c r="F49" s="64"/>
      <c r="G49" s="61">
        <v>10000</v>
      </c>
      <c r="H49" s="50"/>
      <c r="I49" s="7" t="str">
        <f>"18.13"</f>
        <v>18.13</v>
      </c>
      <c r="J49" s="33" t="s">
        <v>55</v>
      </c>
      <c r="K49" s="7"/>
      <c r="L49" s="64"/>
      <c r="M49" s="61">
        <v>1214.64</v>
      </c>
      <c r="N49" s="29"/>
      <c r="T49" s="42"/>
      <c r="U49" s="41"/>
      <c r="V49" s="41"/>
      <c r="W49" s="41"/>
      <c r="X49" s="41"/>
      <c r="Y49" s="41"/>
    </row>
    <row r="50" spans="3:25" ht="13.5" thickBot="1">
      <c r="C50" s="7" t="str">
        <f>"  10.1.8"</f>
        <v>  10.1.8</v>
      </c>
      <c r="D50" s="13" t="s">
        <v>110</v>
      </c>
      <c r="E50" s="19"/>
      <c r="F50" s="64"/>
      <c r="G50" s="61">
        <v>10000</v>
      </c>
      <c r="H50" s="50"/>
      <c r="I50" s="35"/>
      <c r="J50" s="36"/>
      <c r="K50" s="35"/>
      <c r="L50" s="68"/>
      <c r="M50" s="69"/>
      <c r="N50" s="29"/>
      <c r="T50" s="40"/>
      <c r="U50" s="29"/>
      <c r="V50" s="29"/>
      <c r="W50" s="29"/>
      <c r="X50" s="29"/>
      <c r="Y50" s="29"/>
    </row>
    <row r="51" spans="3:25" ht="12.75">
      <c r="C51" s="7" t="str">
        <f>"  10.1.9"</f>
        <v>  10.1.9</v>
      </c>
      <c r="D51" s="13" t="s">
        <v>111</v>
      </c>
      <c r="E51" s="19"/>
      <c r="F51" s="64"/>
      <c r="G51" s="61">
        <v>2000</v>
      </c>
      <c r="H51" s="50"/>
      <c r="I51" s="16" t="str">
        <f>"19.0"</f>
        <v>19.0</v>
      </c>
      <c r="J51" s="12" t="s">
        <v>39</v>
      </c>
      <c r="K51" s="91"/>
      <c r="L51" s="92"/>
      <c r="M51" s="93">
        <f>SUM(M52:M69)</f>
        <v>37858.97</v>
      </c>
      <c r="N51" s="29"/>
      <c r="T51" s="40"/>
      <c r="U51" s="29"/>
      <c r="V51" s="29"/>
      <c r="W51" s="29"/>
      <c r="X51" s="29"/>
      <c r="Y51" s="29"/>
    </row>
    <row r="52" spans="3:25" ht="12.75">
      <c r="C52" s="7" t="str">
        <f>"  10.1.10"</f>
        <v>  10.1.10</v>
      </c>
      <c r="D52" s="13" t="s">
        <v>112</v>
      </c>
      <c r="E52" s="19"/>
      <c r="F52" s="64"/>
      <c r="G52" s="61">
        <v>0</v>
      </c>
      <c r="H52" s="50"/>
      <c r="I52" s="7" t="str">
        <f>"19.1"</f>
        <v>19.1</v>
      </c>
      <c r="J52" s="13" t="s">
        <v>80</v>
      </c>
      <c r="K52" s="19"/>
      <c r="L52" s="64"/>
      <c r="M52" s="61">
        <v>1849.2</v>
      </c>
      <c r="N52" s="29"/>
      <c r="T52" s="40"/>
      <c r="U52" s="29"/>
      <c r="V52" s="29"/>
      <c r="W52" s="29"/>
      <c r="X52" s="29"/>
      <c r="Y52" s="29"/>
    </row>
    <row r="53" spans="3:25" ht="12.75">
      <c r="C53" s="7" t="str">
        <f>"  10.1.11"</f>
        <v>  10.1.11</v>
      </c>
      <c r="D53" s="13" t="s">
        <v>113</v>
      </c>
      <c r="E53" s="19"/>
      <c r="F53" s="64"/>
      <c r="G53" s="61">
        <v>2500</v>
      </c>
      <c r="H53" s="50"/>
      <c r="I53" s="7" t="str">
        <f>"19.2"</f>
        <v>19.2</v>
      </c>
      <c r="J53" s="90" t="s">
        <v>81</v>
      </c>
      <c r="K53" s="19"/>
      <c r="L53" s="64"/>
      <c r="M53" s="61">
        <v>5695.2</v>
      </c>
      <c r="N53" s="29"/>
      <c r="T53" s="46"/>
      <c r="U53" s="47"/>
      <c r="V53" s="47"/>
      <c r="W53" s="47"/>
      <c r="X53" s="47"/>
      <c r="Y53" s="47"/>
    </row>
    <row r="54" spans="3:25" ht="12.75">
      <c r="C54" s="7" t="str">
        <f>"  10.1.12"</f>
        <v>  10.1.12</v>
      </c>
      <c r="D54" s="13" t="s">
        <v>114</v>
      </c>
      <c r="E54" s="19"/>
      <c r="F54" s="64"/>
      <c r="G54" s="61">
        <v>0</v>
      </c>
      <c r="H54" s="50"/>
      <c r="I54" s="7" t="str">
        <f>"19.3"</f>
        <v>19.3</v>
      </c>
      <c r="J54" s="90" t="s">
        <v>68</v>
      </c>
      <c r="K54" s="19"/>
      <c r="L54" s="64"/>
      <c r="M54" s="61">
        <v>614.2</v>
      </c>
      <c r="N54" s="29"/>
      <c r="T54" s="42"/>
      <c r="U54" s="41"/>
      <c r="V54" s="41"/>
      <c r="W54" s="41"/>
      <c r="X54" s="41"/>
      <c r="Y54" s="41"/>
    </row>
    <row r="55" spans="3:25" ht="12.75">
      <c r="C55" s="28" t="str">
        <f>"  10.1.13"</f>
        <v>  10.1.13</v>
      </c>
      <c r="D55" s="37" t="s">
        <v>115</v>
      </c>
      <c r="E55" s="28"/>
      <c r="F55" s="89"/>
      <c r="G55" s="61">
        <v>3000</v>
      </c>
      <c r="H55" s="46"/>
      <c r="I55" s="7" t="str">
        <f>"19.4"</f>
        <v>19.4</v>
      </c>
      <c r="J55" s="90" t="s">
        <v>82</v>
      </c>
      <c r="K55" s="19"/>
      <c r="L55" s="98"/>
      <c r="M55" s="61">
        <v>3672.8</v>
      </c>
      <c r="N55" s="29"/>
      <c r="T55" s="42"/>
      <c r="U55" s="41"/>
      <c r="V55" s="41"/>
      <c r="W55" s="41"/>
      <c r="X55" s="41"/>
      <c r="Y55" s="41"/>
    </row>
    <row r="56" spans="3:25" ht="12.75">
      <c r="C56" s="7" t="str">
        <f>"  10.1.14"</f>
        <v>  10.1.14</v>
      </c>
      <c r="D56" s="33" t="s">
        <v>116</v>
      </c>
      <c r="E56" s="7"/>
      <c r="F56" s="88"/>
      <c r="G56" s="61">
        <v>1500</v>
      </c>
      <c r="H56" s="50"/>
      <c r="I56" s="7" t="str">
        <f>"19.5"</f>
        <v>19.5</v>
      </c>
      <c r="J56" s="90" t="s">
        <v>69</v>
      </c>
      <c r="K56" s="19"/>
      <c r="L56" s="98"/>
      <c r="M56" s="61">
        <v>892.94</v>
      </c>
      <c r="N56" s="29"/>
      <c r="T56" s="42"/>
      <c r="U56" s="41"/>
      <c r="V56" s="41"/>
      <c r="W56" s="41"/>
      <c r="X56" s="41"/>
      <c r="Y56" s="41"/>
    </row>
    <row r="57" spans="3:25" ht="12.75">
      <c r="C57" s="7" t="s">
        <v>132</v>
      </c>
      <c r="D57" s="13" t="s">
        <v>16</v>
      </c>
      <c r="E57" s="19"/>
      <c r="F57" s="64"/>
      <c r="G57" s="61">
        <f>SUM(G58:G59)</f>
        <v>5500</v>
      </c>
      <c r="H57" s="46"/>
      <c r="I57" s="7" t="str">
        <f>"19.6"</f>
        <v>19.6</v>
      </c>
      <c r="J57" s="13" t="s">
        <v>72</v>
      </c>
      <c r="K57" s="19"/>
      <c r="L57" s="64"/>
      <c r="M57" s="61">
        <v>500</v>
      </c>
      <c r="N57" s="29"/>
      <c r="T57" s="42"/>
      <c r="U57" s="41"/>
      <c r="V57" s="41"/>
      <c r="W57" s="41"/>
      <c r="X57" s="41"/>
      <c r="Y57" s="41"/>
    </row>
    <row r="58" spans="3:25" ht="12.75">
      <c r="C58" s="7" t="str">
        <f>"  10.2.1"</f>
        <v>  10.2.1</v>
      </c>
      <c r="D58" s="56" t="s">
        <v>117</v>
      </c>
      <c r="E58" s="96">
        <v>8</v>
      </c>
      <c r="F58" s="64">
        <v>500</v>
      </c>
      <c r="G58" s="61">
        <f>E58*F58</f>
        <v>4000</v>
      </c>
      <c r="H58" s="50"/>
      <c r="I58" s="7" t="str">
        <f>"19.7"</f>
        <v>19.7</v>
      </c>
      <c r="J58" s="13" t="s">
        <v>40</v>
      </c>
      <c r="K58" s="19"/>
      <c r="L58" s="64"/>
      <c r="M58" s="61">
        <v>0</v>
      </c>
      <c r="N58" s="29"/>
      <c r="T58" s="42"/>
      <c r="U58" s="41"/>
      <c r="V58" s="41"/>
      <c r="W58" s="41"/>
      <c r="X58" s="41"/>
      <c r="Y58" s="41"/>
    </row>
    <row r="59" spans="2:25" ht="12.75">
      <c r="B59" s="29"/>
      <c r="C59" s="7" t="str">
        <f>"  10.2.2"</f>
        <v>  10.2.2</v>
      </c>
      <c r="D59" s="56" t="s">
        <v>118</v>
      </c>
      <c r="E59" s="96">
        <v>6</v>
      </c>
      <c r="F59" s="64">
        <v>250</v>
      </c>
      <c r="G59" s="61">
        <f>E59*F59</f>
        <v>1500</v>
      </c>
      <c r="H59" s="53"/>
      <c r="I59" s="7" t="str">
        <f>"19.8"</f>
        <v>19.8</v>
      </c>
      <c r="J59" s="13" t="s">
        <v>53</v>
      </c>
      <c r="K59" s="19"/>
      <c r="L59" s="64"/>
      <c r="M59" s="61">
        <v>0</v>
      </c>
      <c r="N59" s="29"/>
      <c r="T59" s="42"/>
      <c r="U59" s="41"/>
      <c r="V59" s="41"/>
      <c r="W59" s="41"/>
      <c r="X59" s="41"/>
      <c r="Y59" s="41"/>
    </row>
    <row r="60" spans="3:25" ht="12.75">
      <c r="C60" s="7" t="str">
        <f>"10.3"</f>
        <v>10.3</v>
      </c>
      <c r="D60" s="13" t="s">
        <v>17</v>
      </c>
      <c r="E60" s="19"/>
      <c r="F60" s="64"/>
      <c r="G60" s="61">
        <v>1177.99</v>
      </c>
      <c r="H60" s="52"/>
      <c r="I60" s="7" t="str">
        <f>"19.9"</f>
        <v>19.9</v>
      </c>
      <c r="J60" s="13" t="s">
        <v>41</v>
      </c>
      <c r="K60" s="19"/>
      <c r="L60" s="64"/>
      <c r="M60" s="61">
        <v>0</v>
      </c>
      <c r="N60" s="29"/>
      <c r="T60" s="42"/>
      <c r="U60" s="41"/>
      <c r="V60" s="41"/>
      <c r="W60" s="41"/>
      <c r="X60" s="41"/>
      <c r="Y60" s="41"/>
    </row>
    <row r="61" spans="3:25" ht="12.75">
      <c r="C61" s="94" t="str">
        <f>"10.4"</f>
        <v>10.4</v>
      </c>
      <c r="D61" s="95" t="s">
        <v>61</v>
      </c>
      <c r="F61" s="77"/>
      <c r="G61" s="78">
        <f>SUM(G62:G64)</f>
        <v>1894.3100000000002</v>
      </c>
      <c r="H61" s="47"/>
      <c r="I61" s="7" t="str">
        <f>"19.10"</f>
        <v>19.10</v>
      </c>
      <c r="J61" s="13" t="s">
        <v>71</v>
      </c>
      <c r="K61" s="19"/>
      <c r="L61" s="64"/>
      <c r="M61" s="61">
        <v>8800</v>
      </c>
      <c r="N61" s="29"/>
      <c r="T61" s="42"/>
      <c r="U61" s="41"/>
      <c r="V61" s="41"/>
      <c r="W61" s="41"/>
      <c r="X61" s="41"/>
      <c r="Y61" s="41"/>
    </row>
    <row r="62" spans="3:25" ht="12.75">
      <c r="C62" s="94" t="str">
        <f>"  10.4.1"</f>
        <v>  10.4.1</v>
      </c>
      <c r="D62" s="97" t="s">
        <v>119</v>
      </c>
      <c r="E62" s="7"/>
      <c r="F62" s="77"/>
      <c r="G62" s="78">
        <v>5</v>
      </c>
      <c r="I62" s="7" t="str">
        <f>"19.11"</f>
        <v>19.11</v>
      </c>
      <c r="J62" s="13" t="s">
        <v>42</v>
      </c>
      <c r="K62" s="19"/>
      <c r="L62" s="64"/>
      <c r="M62" s="61">
        <v>2061</v>
      </c>
      <c r="N62" s="29"/>
      <c r="T62" s="42"/>
      <c r="U62" s="41"/>
      <c r="V62" s="41"/>
      <c r="W62" s="41"/>
      <c r="X62" s="41"/>
      <c r="Y62" s="41"/>
    </row>
    <row r="63" spans="3:25" ht="12.75">
      <c r="C63" s="94" t="str">
        <f>"  10.4.2"</f>
        <v>  10.4.2</v>
      </c>
      <c r="D63" s="97" t="s">
        <v>120</v>
      </c>
      <c r="E63" s="7"/>
      <c r="F63" s="77"/>
      <c r="G63" s="78">
        <v>1664.4</v>
      </c>
      <c r="I63" s="7" t="str">
        <f>"19.12"</f>
        <v>19.12</v>
      </c>
      <c r="J63" s="13" t="s">
        <v>85</v>
      </c>
      <c r="K63" s="19"/>
      <c r="L63" s="64"/>
      <c r="M63" s="61">
        <v>1093.63</v>
      </c>
      <c r="N63" s="29"/>
      <c r="T63" s="42"/>
      <c r="U63" s="41"/>
      <c r="V63" s="41"/>
      <c r="W63" s="41"/>
      <c r="X63" s="41"/>
      <c r="Y63" s="41"/>
    </row>
    <row r="64" spans="3:25" ht="12.75">
      <c r="C64" s="94" t="str">
        <f>"  10.4.3"</f>
        <v>  10.4.3</v>
      </c>
      <c r="D64" s="97" t="s">
        <v>121</v>
      </c>
      <c r="E64" s="7"/>
      <c r="F64" s="77"/>
      <c r="G64" s="78">
        <v>224.91</v>
      </c>
      <c r="I64" s="7" t="str">
        <f>"19.13"</f>
        <v>19.13</v>
      </c>
      <c r="J64" s="13" t="s">
        <v>48</v>
      </c>
      <c r="K64" s="19"/>
      <c r="L64" s="64"/>
      <c r="M64" s="61">
        <v>5149</v>
      </c>
      <c r="N64" s="29"/>
      <c r="T64" s="42"/>
      <c r="U64" s="41"/>
      <c r="V64" s="41"/>
      <c r="W64" s="41"/>
      <c r="X64" s="41"/>
      <c r="Y64" s="41"/>
    </row>
    <row r="65" spans="3:25" ht="12.75">
      <c r="C65" s="7" t="str">
        <f>"10.5"</f>
        <v>10.5</v>
      </c>
      <c r="D65" s="33" t="s">
        <v>73</v>
      </c>
      <c r="E65" s="7"/>
      <c r="F65" s="88"/>
      <c r="G65" s="61">
        <f>G66+G68</f>
        <v>5800</v>
      </c>
      <c r="I65" s="7" t="str">
        <f>"19.14"</f>
        <v>19.14</v>
      </c>
      <c r="J65" s="33" t="s">
        <v>70</v>
      </c>
      <c r="K65" s="7"/>
      <c r="L65" s="88"/>
      <c r="M65" s="61">
        <v>1000</v>
      </c>
      <c r="N65" s="29"/>
      <c r="T65" s="42"/>
      <c r="U65" s="41"/>
      <c r="V65" s="41"/>
      <c r="W65" s="41"/>
      <c r="X65" s="41"/>
      <c r="Y65" s="41"/>
    </row>
    <row r="66" spans="3:25" ht="12.75">
      <c r="C66" s="7" t="str">
        <f>"  10.5.1"</f>
        <v>  10.5.1</v>
      </c>
      <c r="D66" s="33" t="s">
        <v>122</v>
      </c>
      <c r="E66" s="7"/>
      <c r="F66" s="88"/>
      <c r="G66" s="61">
        <v>5800</v>
      </c>
      <c r="I66" s="7" t="str">
        <f>"19.15"</f>
        <v>19.15</v>
      </c>
      <c r="J66" s="33" t="s">
        <v>79</v>
      </c>
      <c r="K66" s="7"/>
      <c r="L66" s="88"/>
      <c r="M66" s="61">
        <v>214.2</v>
      </c>
      <c r="N66" s="29"/>
      <c r="T66" s="42"/>
      <c r="U66" s="41"/>
      <c r="V66" s="41"/>
      <c r="W66" s="41"/>
      <c r="X66" s="41"/>
      <c r="Y66" s="41"/>
    </row>
    <row r="67" spans="3:25" ht="12.75">
      <c r="C67" s="7" t="str">
        <f>"  10.5.2"</f>
        <v>  10.5.2</v>
      </c>
      <c r="D67" s="33" t="s">
        <v>123</v>
      </c>
      <c r="E67" s="7"/>
      <c r="F67" s="88"/>
      <c r="G67" s="61">
        <v>0</v>
      </c>
      <c r="I67" s="7" t="str">
        <f>"19.16"</f>
        <v>19.16</v>
      </c>
      <c r="J67" s="33" t="s">
        <v>78</v>
      </c>
      <c r="K67" s="7"/>
      <c r="L67" s="88"/>
      <c r="M67" s="61">
        <v>3964.4</v>
      </c>
      <c r="N67" s="29"/>
      <c r="T67" s="42"/>
      <c r="U67" s="41"/>
      <c r="V67" s="41"/>
      <c r="W67" s="41"/>
      <c r="X67" s="41"/>
      <c r="Y67" s="41"/>
    </row>
    <row r="68" spans="3:25" ht="12.75">
      <c r="C68" s="7" t="str">
        <f>"  10.5.3"</f>
        <v>  10.5.3</v>
      </c>
      <c r="D68" s="13" t="s">
        <v>124</v>
      </c>
      <c r="E68" s="19"/>
      <c r="F68" s="64"/>
      <c r="G68" s="61">
        <v>0</v>
      </c>
      <c r="I68" s="7" t="str">
        <f>"19.17"</f>
        <v>19.17</v>
      </c>
      <c r="J68" s="33" t="s">
        <v>77</v>
      </c>
      <c r="K68" s="7"/>
      <c r="L68" s="88"/>
      <c r="M68" s="61">
        <v>1159.6</v>
      </c>
      <c r="N68" s="29"/>
      <c r="T68" s="46"/>
      <c r="U68" s="47"/>
      <c r="V68" s="47"/>
      <c r="W68" s="47"/>
      <c r="X68" s="47"/>
      <c r="Y68" s="47"/>
    </row>
    <row r="69" spans="3:25" ht="12.75">
      <c r="C69" s="30" t="str">
        <f>"11.0"</f>
        <v>11.0</v>
      </c>
      <c r="D69" s="31" t="s">
        <v>18</v>
      </c>
      <c r="E69" s="34"/>
      <c r="F69" s="75"/>
      <c r="G69" s="76">
        <f>G10+G23+G28+G30+G41</f>
        <v>279911.45999999996</v>
      </c>
      <c r="I69" s="7" t="str">
        <f>"19.18"</f>
        <v>19.18</v>
      </c>
      <c r="J69" s="33" t="s">
        <v>83</v>
      </c>
      <c r="K69" s="7"/>
      <c r="L69" s="88"/>
      <c r="M69" s="61">
        <v>1192.8</v>
      </c>
      <c r="N69" s="29"/>
      <c r="T69" s="50"/>
      <c r="U69" s="45"/>
      <c r="V69" s="45"/>
      <c r="W69" s="45"/>
      <c r="X69" s="45"/>
      <c r="Y69" s="45"/>
    </row>
    <row r="70" spans="3:25" ht="12.75">
      <c r="C70" s="7"/>
      <c r="D70" s="13"/>
      <c r="E70" s="19"/>
      <c r="F70" s="64"/>
      <c r="G70" s="61"/>
      <c r="I70" s="7"/>
      <c r="J70" s="13"/>
      <c r="K70" s="19"/>
      <c r="L70" s="64"/>
      <c r="M70" s="61"/>
      <c r="N70" s="29"/>
      <c r="T70" s="46"/>
      <c r="U70" s="47"/>
      <c r="V70" s="47"/>
      <c r="W70" s="47"/>
      <c r="X70" s="47"/>
      <c r="Y70" s="47"/>
    </row>
    <row r="71" spans="3:25" ht="12.75">
      <c r="C71" s="9" t="str">
        <f>"12.0"</f>
        <v>12.0</v>
      </c>
      <c r="D71" s="14" t="s">
        <v>52</v>
      </c>
      <c r="E71" s="18"/>
      <c r="F71" s="62"/>
      <c r="G71" s="63">
        <f>G72+G73</f>
        <v>25000</v>
      </c>
      <c r="I71" s="9" t="str">
        <f>"20.0"</f>
        <v>20.0</v>
      </c>
      <c r="J71" s="14" t="s">
        <v>45</v>
      </c>
      <c r="K71" s="18"/>
      <c r="L71" s="62"/>
      <c r="M71" s="63">
        <f>M51+M30+M24+M22+M17+M10</f>
        <v>206900.27000000002</v>
      </c>
      <c r="N71" s="29"/>
      <c r="T71" s="50"/>
      <c r="U71" s="45"/>
      <c r="V71" s="45"/>
      <c r="W71" s="45"/>
      <c r="X71" s="45"/>
      <c r="Y71" s="45"/>
    </row>
    <row r="72" spans="3:25" ht="12.75">
      <c r="C72" s="28" t="str">
        <f>"12.1"</f>
        <v>12.1</v>
      </c>
      <c r="D72" s="13" t="s">
        <v>51</v>
      </c>
      <c r="E72" s="32"/>
      <c r="F72" s="77"/>
      <c r="G72" s="78">
        <v>10000</v>
      </c>
      <c r="I72" s="7"/>
      <c r="J72" s="13"/>
      <c r="K72" s="19"/>
      <c r="L72" s="64"/>
      <c r="M72" s="61"/>
      <c r="N72" s="29"/>
      <c r="T72" s="46"/>
      <c r="U72" s="47"/>
      <c r="V72" s="47"/>
      <c r="W72" s="47"/>
      <c r="X72" s="47"/>
      <c r="Y72" s="47"/>
    </row>
    <row r="73" spans="3:25" ht="12.75">
      <c r="C73" s="7" t="str">
        <f>"12.2"</f>
        <v>12.2</v>
      </c>
      <c r="D73" s="33" t="s">
        <v>54</v>
      </c>
      <c r="E73" s="7"/>
      <c r="F73" s="64"/>
      <c r="G73" s="67">
        <v>15000</v>
      </c>
      <c r="I73" s="9" t="str">
        <f>"21.0"</f>
        <v>21.0</v>
      </c>
      <c r="J73" s="14" t="s">
        <v>49</v>
      </c>
      <c r="K73" s="18"/>
      <c r="L73" s="62"/>
      <c r="M73" s="63">
        <v>25000</v>
      </c>
      <c r="T73" s="50"/>
      <c r="U73" s="45"/>
      <c r="V73" s="45"/>
      <c r="W73" s="45"/>
      <c r="X73" s="45"/>
      <c r="Y73" s="45"/>
    </row>
    <row r="74" spans="3:25" ht="12.75">
      <c r="C74" s="7"/>
      <c r="D74" s="13"/>
      <c r="E74" s="7"/>
      <c r="F74" s="64"/>
      <c r="G74" s="61"/>
      <c r="I74" s="7"/>
      <c r="J74" s="13"/>
      <c r="K74" s="19"/>
      <c r="L74" s="64"/>
      <c r="M74" s="61"/>
      <c r="T74" s="46"/>
      <c r="U74" s="47"/>
      <c r="V74" s="47"/>
      <c r="W74" s="47"/>
      <c r="X74" s="47"/>
      <c r="Y74" s="47"/>
    </row>
    <row r="75" spans="3:25" ht="13.5" thickBot="1">
      <c r="C75" s="11" t="str">
        <f>"13.0"</f>
        <v>13.0</v>
      </c>
      <c r="D75" s="15" t="s">
        <v>19</v>
      </c>
      <c r="E75" s="20"/>
      <c r="F75" s="70"/>
      <c r="G75" s="71">
        <f>G69+G71</f>
        <v>304911.45999999996</v>
      </c>
      <c r="I75" s="11" t="str">
        <f>"22.0"</f>
        <v>22.0</v>
      </c>
      <c r="J75" s="15" t="s">
        <v>46</v>
      </c>
      <c r="K75" s="20"/>
      <c r="L75" s="70"/>
      <c r="M75" s="71">
        <f>M71+M73</f>
        <v>231900.27000000002</v>
      </c>
      <c r="T75" s="50"/>
      <c r="U75" s="45"/>
      <c r="V75" s="45"/>
      <c r="W75" s="45"/>
      <c r="X75" s="45"/>
      <c r="Y75" s="45"/>
    </row>
    <row r="76" spans="9:25" ht="12.75">
      <c r="I76" t="s">
        <v>131</v>
      </c>
      <c r="J76" s="49"/>
      <c r="K76" s="47"/>
      <c r="L76" s="47"/>
      <c r="M76" s="47"/>
      <c r="T76" s="46"/>
      <c r="U76" s="47"/>
      <c r="V76" s="47"/>
      <c r="W76" s="47"/>
      <c r="X76" s="47"/>
      <c r="Y76" s="47"/>
    </row>
    <row r="77" spans="9:21" ht="12.75">
      <c r="I77" t="s">
        <v>90</v>
      </c>
      <c r="S77" s="3"/>
      <c r="T77" s="3"/>
      <c r="U77" s="4"/>
    </row>
    <row r="78" spans="19:21" ht="13.5" thickBot="1">
      <c r="S78" s="3"/>
      <c r="T78" s="3"/>
      <c r="U78" s="4"/>
    </row>
    <row r="79" spans="5:21" ht="13.5" thickTop="1">
      <c r="E79" s="79" t="s">
        <v>19</v>
      </c>
      <c r="F79" s="80"/>
      <c r="G79" s="81">
        <f>G75</f>
        <v>304911.45999999996</v>
      </c>
      <c r="S79" s="3"/>
      <c r="T79" s="3"/>
      <c r="U79" s="4"/>
    </row>
    <row r="80" spans="5:21" ht="13.5" thickBot="1">
      <c r="E80" s="82" t="s">
        <v>46</v>
      </c>
      <c r="F80" s="83"/>
      <c r="G80" s="84">
        <f>M75</f>
        <v>231900.27000000002</v>
      </c>
      <c r="S80" s="3"/>
      <c r="T80" s="3"/>
      <c r="U80" s="4"/>
    </row>
    <row r="81" spans="5:21" ht="14.25" thickBot="1" thickTop="1">
      <c r="E81" s="85" t="s">
        <v>67</v>
      </c>
      <c r="F81" s="86"/>
      <c r="G81" s="87">
        <f>G79-G80</f>
        <v>73011.18999999994</v>
      </c>
      <c r="S81" s="3"/>
      <c r="T81" s="3"/>
      <c r="U81" s="4"/>
    </row>
    <row r="82" spans="19:21" ht="13.5" thickTop="1">
      <c r="S82" s="3"/>
      <c r="T82" s="3"/>
      <c r="U82" s="3"/>
    </row>
    <row r="83" spans="19:21" ht="12.75">
      <c r="S83" s="3"/>
      <c r="T83" s="3"/>
      <c r="U83" s="4"/>
    </row>
    <row r="84" spans="19:21" ht="12.75">
      <c r="S84" s="3"/>
      <c r="T84" s="3"/>
      <c r="U84" s="4"/>
    </row>
    <row r="85" spans="19:21" ht="12.75">
      <c r="S85" s="3"/>
      <c r="T85" s="3"/>
      <c r="U85" s="4"/>
    </row>
    <row r="86" spans="19:21" ht="12.75">
      <c r="S86" s="3"/>
      <c r="T86" s="3"/>
      <c r="U86" s="3"/>
    </row>
    <row r="87" spans="19:21" ht="12.75">
      <c r="S87" s="3"/>
      <c r="T87" s="3"/>
      <c r="U87" s="3"/>
    </row>
    <row r="88" spans="19:21" ht="12.75">
      <c r="S88" s="3"/>
      <c r="T88" s="3"/>
      <c r="U88" s="3"/>
    </row>
    <row r="89" spans="19:21" ht="12.75">
      <c r="S89" s="3"/>
      <c r="T89" s="3"/>
      <c r="U89" s="3"/>
    </row>
    <row r="90" spans="19:21" ht="12.75">
      <c r="S90" s="3"/>
      <c r="T90" s="3"/>
      <c r="U90" s="3"/>
    </row>
    <row r="91" spans="19:21" ht="12.75">
      <c r="S91" s="3"/>
      <c r="T91" s="3"/>
      <c r="U91" s="3"/>
    </row>
    <row r="92" spans="19:21" ht="12.75">
      <c r="S92" s="3"/>
      <c r="T92" s="3"/>
      <c r="U92" s="3"/>
    </row>
    <row r="93" spans="19:21" ht="12.75">
      <c r="S93" s="3"/>
      <c r="T93" s="3"/>
      <c r="U93" s="3"/>
    </row>
    <row r="94" spans="19:21" ht="12.75">
      <c r="S94" s="3"/>
      <c r="T94" s="3"/>
      <c r="U94" s="3"/>
    </row>
    <row r="95" spans="19:21" ht="12.75">
      <c r="S95" s="3"/>
      <c r="T95" s="3"/>
      <c r="U95" s="3"/>
    </row>
    <row r="96" spans="19:21" ht="12.75">
      <c r="S96" s="3"/>
      <c r="T96" s="3"/>
      <c r="U96" s="3"/>
    </row>
    <row r="97" spans="19:21" ht="12.75">
      <c r="S97" s="3"/>
      <c r="T97" s="3"/>
      <c r="U97" s="3"/>
    </row>
    <row r="98" spans="19:21" ht="12.75">
      <c r="S98" s="3"/>
      <c r="T98" s="3"/>
      <c r="U98" s="3"/>
    </row>
    <row r="99" spans="19:21" ht="12.75">
      <c r="S99" s="3"/>
      <c r="T99" s="3"/>
      <c r="U99" s="4"/>
    </row>
    <row r="100" spans="19:21" ht="12.75">
      <c r="S100" s="3"/>
      <c r="T100" s="3"/>
      <c r="U100" s="4"/>
    </row>
    <row r="101" spans="19:21" ht="12.75">
      <c r="S101" s="3"/>
      <c r="T101" s="3"/>
      <c r="U101" s="4"/>
    </row>
    <row r="102" spans="19:21" ht="12.75">
      <c r="S102" s="3"/>
      <c r="T102" s="3"/>
      <c r="U102" s="4"/>
    </row>
    <row r="103" spans="19:21" ht="12.75">
      <c r="S103" s="3"/>
      <c r="T103" s="3"/>
      <c r="U103" s="4"/>
    </row>
    <row r="104" spans="19:21" ht="12.75">
      <c r="S104" s="3"/>
      <c r="T104" s="3"/>
      <c r="U104" s="4"/>
    </row>
    <row r="105" spans="19:21" ht="12.75">
      <c r="S105" s="3"/>
      <c r="T105" s="3"/>
      <c r="U105" s="4"/>
    </row>
    <row r="106" spans="19:21" ht="12.75">
      <c r="S106" s="3"/>
      <c r="T106" s="3"/>
      <c r="U106" s="4"/>
    </row>
    <row r="107" spans="19:21" ht="12.75">
      <c r="S107" s="3"/>
      <c r="T107" s="3"/>
      <c r="U107" s="3"/>
    </row>
    <row r="108" spans="19:21" ht="12.75">
      <c r="S108" s="3"/>
      <c r="T108" s="3"/>
      <c r="U108" s="3"/>
    </row>
    <row r="109" spans="19:21" ht="12.75">
      <c r="S109" s="3"/>
      <c r="T109" s="3"/>
      <c r="U109" s="3"/>
    </row>
    <row r="110" spans="19:21" ht="12.75">
      <c r="S110" s="3"/>
      <c r="T110" s="3"/>
      <c r="U110" s="3"/>
    </row>
    <row r="111" spans="19:21" ht="12.75">
      <c r="S111" s="3"/>
      <c r="T111" s="3"/>
      <c r="U111" s="3"/>
    </row>
    <row r="112" spans="19:21" ht="12.75">
      <c r="S112" s="3"/>
      <c r="T112" s="3"/>
      <c r="U112" s="3"/>
    </row>
    <row r="113" spans="19:21" ht="12.75">
      <c r="S113" s="4"/>
      <c r="T113" s="3"/>
      <c r="U113" s="4"/>
    </row>
    <row r="114" spans="19:21" ht="12.75">
      <c r="S114" s="3"/>
      <c r="T114" s="3"/>
      <c r="U114" s="4"/>
    </row>
    <row r="115" spans="19:21" ht="12.75">
      <c r="S115" s="3"/>
      <c r="T115" s="3"/>
      <c r="U115" s="4"/>
    </row>
    <row r="116" spans="19:21" ht="12.75">
      <c r="S116" s="3"/>
      <c r="T116" s="3"/>
      <c r="U116" s="4"/>
    </row>
    <row r="117" spans="19:21" ht="12.75">
      <c r="S117" s="3"/>
      <c r="T117" s="3"/>
      <c r="U117" s="3"/>
    </row>
    <row r="118" spans="19:21" ht="12.75">
      <c r="S118" s="3"/>
      <c r="T118" s="3"/>
      <c r="U118" s="3"/>
    </row>
    <row r="119" spans="19:21" ht="12.75">
      <c r="S119" s="3"/>
      <c r="T119" s="3"/>
      <c r="U119" s="3"/>
    </row>
    <row r="120" spans="19:21" ht="12.75">
      <c r="S120" s="3"/>
      <c r="T120" s="3"/>
      <c r="U120" s="3"/>
    </row>
    <row r="121" spans="19:21" ht="12.75">
      <c r="S121" s="3"/>
      <c r="T121" s="3"/>
      <c r="U121" s="4"/>
    </row>
    <row r="122" spans="19:21" ht="12.75">
      <c r="S122" s="3"/>
      <c r="T122" s="3"/>
      <c r="U122" s="4"/>
    </row>
    <row r="123" spans="19:21" ht="12.75">
      <c r="S123" s="3"/>
      <c r="T123" s="3"/>
      <c r="U123" s="4"/>
    </row>
    <row r="124" spans="19:21" ht="12.75">
      <c r="S124" s="3"/>
      <c r="T124" s="3"/>
      <c r="U124" s="4"/>
    </row>
    <row r="125" spans="19:21" ht="12.75">
      <c r="S125" s="3"/>
      <c r="T125" s="3"/>
      <c r="U125" s="3"/>
    </row>
    <row r="126" spans="19:21" ht="12.75">
      <c r="S126" s="3"/>
      <c r="T126" s="3"/>
      <c r="U126" s="4"/>
    </row>
    <row r="127" spans="19:21" ht="12.75">
      <c r="S127" s="3"/>
      <c r="T127" s="3"/>
      <c r="U127" s="3"/>
    </row>
    <row r="128" spans="19:21" ht="12.75">
      <c r="S128" s="3"/>
      <c r="T128" s="3"/>
      <c r="U128" s="4"/>
    </row>
    <row r="129" spans="19:21" ht="12.75">
      <c r="S129" s="3"/>
      <c r="T129" s="3"/>
      <c r="U129" s="4"/>
    </row>
    <row r="130" spans="19:21" ht="12.75">
      <c r="S130" s="3"/>
      <c r="T130" s="3"/>
      <c r="U130" s="4"/>
    </row>
    <row r="131" spans="19:21" ht="12.75">
      <c r="S131" s="3"/>
      <c r="T131" s="3"/>
      <c r="U131" s="3"/>
    </row>
    <row r="132" spans="19:21" ht="12.75">
      <c r="S132" s="3"/>
      <c r="T132" s="3"/>
      <c r="U132" s="4"/>
    </row>
    <row r="133" spans="19:21" ht="12.75">
      <c r="S133" s="3"/>
      <c r="T133" s="3"/>
      <c r="U133" s="3"/>
    </row>
    <row r="134" spans="19:21" ht="12.75">
      <c r="S134" s="3"/>
      <c r="T134" s="3"/>
      <c r="U134" s="3"/>
    </row>
    <row r="135" spans="19:21" ht="12.75">
      <c r="S135" s="3"/>
      <c r="T135" s="3"/>
      <c r="U135" s="3"/>
    </row>
    <row r="136" spans="19:21" ht="12.75">
      <c r="S136" s="3"/>
      <c r="T136" s="3"/>
      <c r="U136" s="4"/>
    </row>
    <row r="137" spans="19:21" ht="12.75">
      <c r="S137" s="3"/>
      <c r="T137" s="3"/>
      <c r="U137" s="3"/>
    </row>
    <row r="138" spans="19:21" ht="12.75">
      <c r="S138" s="3"/>
      <c r="T138" s="3"/>
      <c r="U138" s="3"/>
    </row>
    <row r="139" spans="19:21" ht="12.75">
      <c r="S139" s="3"/>
      <c r="T139" s="3"/>
      <c r="U139" s="3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Naval Research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Plasma Physics Division</dc:creator>
  <cp:keywords/>
  <dc:description/>
  <cp:lastModifiedBy>Brendan Godfrey</cp:lastModifiedBy>
  <cp:lastPrinted>2004-08-27T17:27:36Z</cp:lastPrinted>
  <dcterms:created xsi:type="dcterms:W3CDTF">2000-05-04T17:21:50Z</dcterms:created>
  <dcterms:modified xsi:type="dcterms:W3CDTF">2010-02-11T13:33:32Z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-1362451782</vt:i4>
  </property>
  <property fmtid="{D5CDD505-2E9C-101B-9397-08002B2CF9AE}" pid="3" name="_EmailSubject">
    <vt:lpwstr>Summary ICOPS budget</vt:lpwstr>
  </property>
  <property fmtid="{D5CDD505-2E9C-101B-9397-08002B2CF9AE}" pid="4" name="_AuthorEmail">
    <vt:lpwstr>robert.commisso@nrl.navy.mil</vt:lpwstr>
  </property>
  <property fmtid="{D5CDD505-2E9C-101B-9397-08002B2CF9AE}" pid="5" name="_AuthorEmailDisplayName">
    <vt:lpwstr>commisso</vt:lpwstr>
  </property>
  <property fmtid="{D5CDD505-2E9C-101B-9397-08002B2CF9AE}" pid="6" name="_PreviousAdHocReviewCycleID">
    <vt:i4>20837754</vt:i4>
  </property>
  <property fmtid="{D5CDD505-2E9C-101B-9397-08002B2CF9AE}" pid="7" name="_ReviewingToolsShownOnce">
    <vt:lpwstr/>
  </property>
</Properties>
</file>